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mc:AlternateContent xmlns:mc="http://schemas.openxmlformats.org/markup-compatibility/2006">
    <mc:Choice Requires="x15">
      <x15ac:absPath xmlns:x15ac="http://schemas.microsoft.com/office/spreadsheetml/2010/11/ac" url="/Users/laurentgrisiger/kDrive/Documents internes/Fichiers Calculation/Pret site Internet/"/>
    </mc:Choice>
  </mc:AlternateContent>
  <xr:revisionPtr revIDLastSave="0" documentId="13_ncr:1_{D57FBFA4-240A-294E-915E-D65565CBE173}" xr6:coauthVersionLast="47" xr6:coauthVersionMax="47" xr10:uidLastSave="{00000000-0000-0000-0000-000000000000}"/>
  <bookViews>
    <workbookView xWindow="0" yWindow="600" windowWidth="24040" windowHeight="20300" tabRatio="500" xr2:uid="{00000000-000D-0000-FFFF-FFFF00000000}"/>
  </bookViews>
  <sheets>
    <sheet name="Remboursement"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16" i="1" l="1"/>
  <c r="D16" i="1" s="1"/>
  <c r="B16" i="1"/>
  <c r="A16" i="1"/>
  <c r="F16" i="1" l="1"/>
  <c r="H16" i="1" l="1"/>
  <c r="C17" i="1" l="1"/>
  <c r="D17" i="1" s="1"/>
  <c r="F17" i="1" s="1"/>
  <c r="B17" i="1"/>
  <c r="A17" i="1"/>
  <c r="E16" i="1"/>
  <c r="H17" i="1" l="1"/>
  <c r="C18" i="1" s="1"/>
  <c r="E17" i="1" l="1"/>
  <c r="A18" i="1"/>
  <c r="B18" i="1"/>
  <c r="D18" i="1"/>
  <c r="F18" i="1" l="1"/>
  <c r="H18" i="1" s="1"/>
  <c r="B19" i="1" l="1"/>
  <c r="A19" i="1"/>
  <c r="C19" i="1"/>
  <c r="E18" i="1"/>
  <c r="D19" i="1" l="1"/>
  <c r="F19" i="1" s="1"/>
  <c r="H19" i="1" s="1"/>
  <c r="C20" i="1" l="1"/>
  <c r="D20" i="1" s="1"/>
  <c r="B20" i="1"/>
  <c r="A20" i="1"/>
  <c r="E19" i="1"/>
  <c r="F20" i="1" l="1"/>
  <c r="H20" i="1" s="1"/>
  <c r="C21" i="1" l="1"/>
  <c r="B21" i="1"/>
  <c r="A21" i="1"/>
  <c r="E20" i="1"/>
  <c r="D21" i="1" l="1"/>
  <c r="F21" i="1" s="1"/>
  <c r="H21" i="1" s="1"/>
  <c r="A22" i="1" l="1"/>
  <c r="B22" i="1"/>
  <c r="C22" i="1"/>
  <c r="E21" i="1"/>
  <c r="D22" i="1" l="1"/>
  <c r="F22" i="1" s="1"/>
  <c r="H22" i="1" l="1"/>
  <c r="B23" i="1" s="1"/>
  <c r="E22" i="1"/>
  <c r="C23" i="1" l="1"/>
  <c r="A23" i="1"/>
  <c r="D23" i="1"/>
  <c r="F23" i="1" s="1"/>
  <c r="H23" i="1" s="1"/>
  <c r="C24" i="1" l="1"/>
  <c r="B24" i="1"/>
  <c r="A24" i="1"/>
  <c r="D24" i="1"/>
  <c r="E23" i="1"/>
  <c r="F24" i="1" l="1"/>
  <c r="H24" i="1" s="1"/>
  <c r="A25" i="1" l="1"/>
  <c r="C25" i="1"/>
  <c r="B25" i="1"/>
  <c r="E24" i="1"/>
  <c r="D25" i="1"/>
  <c r="F25" i="1" s="1"/>
  <c r="H25" i="1" l="1"/>
  <c r="C26" i="1" l="1"/>
  <c r="D26" i="1" s="1"/>
  <c r="B26" i="1"/>
  <c r="A26" i="1"/>
  <c r="E25" i="1"/>
  <c r="F26" i="1" l="1"/>
  <c r="H26" i="1" s="1"/>
  <c r="A27" i="1" l="1"/>
  <c r="B27" i="1"/>
  <c r="C27" i="1"/>
  <c r="E26" i="1"/>
  <c r="D27" i="1" l="1"/>
  <c r="F27" i="1" l="1"/>
  <c r="H27" i="1" s="1"/>
  <c r="B28" i="1" l="1"/>
  <c r="C28" i="1"/>
  <c r="D28" i="1" s="1"/>
  <c r="F28" i="1" s="1"/>
  <c r="A28" i="1"/>
  <c r="E27" i="1"/>
  <c r="H28" i="1" l="1"/>
  <c r="C29" i="1" l="1"/>
  <c r="D29" i="1" s="1"/>
  <c r="F29" i="1" s="1"/>
  <c r="H29" i="1" s="1"/>
  <c r="B29" i="1"/>
  <c r="A29" i="1"/>
  <c r="E28" i="1"/>
  <c r="B30" i="1" l="1"/>
  <c r="A30" i="1"/>
  <c r="C30" i="1"/>
  <c r="D30" i="1" s="1"/>
  <c r="E29" i="1"/>
  <c r="F30" i="1" l="1"/>
  <c r="H30" i="1" s="1"/>
  <c r="C31" i="1" l="1"/>
  <c r="B31" i="1"/>
  <c r="A31" i="1"/>
  <c r="E30" i="1"/>
  <c r="D31" i="1" l="1"/>
  <c r="F31" i="1" s="1"/>
  <c r="H31" i="1" l="1"/>
  <c r="B32" i="1" s="1"/>
  <c r="E31" i="1" l="1"/>
  <c r="C32" i="1"/>
  <c r="D32" i="1" s="1"/>
  <c r="A32" i="1"/>
  <c r="F32" i="1" l="1"/>
  <c r="H32" i="1" s="1"/>
  <c r="B33" i="1" s="1"/>
  <c r="E32" i="1" l="1"/>
  <c r="A33" i="1"/>
  <c r="C33" i="1"/>
  <c r="D33" i="1" s="1"/>
  <c r="F33" i="1" s="1"/>
  <c r="H33" i="1" l="1"/>
  <c r="B34" i="1" l="1"/>
  <c r="A34" i="1"/>
  <c r="C34" i="1"/>
  <c r="E33" i="1"/>
  <c r="D34" i="1" l="1"/>
  <c r="F34" i="1" s="1"/>
  <c r="H34" i="1" l="1"/>
  <c r="A35" i="1" l="1"/>
  <c r="C35" i="1"/>
  <c r="B35" i="1"/>
  <c r="E34" i="1"/>
  <c r="D35" i="1" l="1"/>
  <c r="F35" i="1"/>
  <c r="H35" i="1" l="1"/>
  <c r="B36" i="1" s="1"/>
  <c r="E35" i="1" l="1"/>
  <c r="C36" i="1"/>
  <c r="D36" i="1" s="1"/>
  <c r="F36" i="1" s="1"/>
  <c r="H36" i="1" s="1"/>
  <c r="A36" i="1"/>
  <c r="C37" i="1" l="1"/>
  <c r="D37" i="1" s="1"/>
  <c r="F37" i="1" s="1"/>
  <c r="H37" i="1" s="1"/>
  <c r="A37" i="1"/>
  <c r="B37" i="1"/>
  <c r="E36" i="1"/>
  <c r="C38" i="1" l="1"/>
  <c r="D38" i="1" s="1"/>
  <c r="A38" i="1"/>
  <c r="B38" i="1"/>
  <c r="E37" i="1"/>
  <c r="F38" i="1" l="1"/>
  <c r="H38" i="1" s="1"/>
  <c r="C39" i="1" l="1"/>
  <c r="D39" i="1" s="1"/>
  <c r="B39" i="1"/>
  <c r="A39" i="1"/>
  <c r="E38" i="1"/>
  <c r="F39" i="1" l="1"/>
  <c r="H39" i="1" s="1"/>
  <c r="A40" i="1" l="1"/>
  <c r="C40" i="1"/>
  <c r="B40" i="1"/>
  <c r="E39" i="1"/>
  <c r="D40" i="1" l="1"/>
  <c r="F40" i="1" s="1"/>
  <c r="H40" i="1" s="1"/>
  <c r="C41" i="1" l="1"/>
  <c r="D41" i="1" s="1"/>
  <c r="F41" i="1" s="1"/>
  <c r="A41" i="1"/>
  <c r="B41" i="1"/>
  <c r="E40" i="1"/>
  <c r="H41" i="1" l="1"/>
  <c r="C42" i="1" l="1"/>
  <c r="A42" i="1"/>
  <c r="B42" i="1"/>
  <c r="E41" i="1"/>
  <c r="D42" i="1" l="1"/>
  <c r="F42" i="1" l="1"/>
  <c r="H42" i="1" s="1"/>
  <c r="A43" i="1" l="1"/>
  <c r="C43" i="1"/>
  <c r="D43" i="1" s="1"/>
  <c r="B43" i="1"/>
  <c r="E42" i="1"/>
  <c r="F43" i="1" l="1"/>
  <c r="H43" i="1" s="1"/>
  <c r="B44" i="1" l="1"/>
  <c r="C44" i="1"/>
  <c r="A44" i="1"/>
  <c r="E43" i="1"/>
  <c r="D44" i="1" l="1"/>
  <c r="F44" i="1" s="1"/>
  <c r="H44" i="1" l="1"/>
  <c r="C45" i="1" l="1"/>
  <c r="B45" i="1"/>
  <c r="A45" i="1"/>
  <c r="D45" i="1"/>
  <c r="E44" i="1"/>
  <c r="F45" i="1" l="1"/>
  <c r="H45" i="1" s="1"/>
  <c r="C46" i="1" l="1"/>
  <c r="D46" i="1" s="1"/>
  <c r="B46" i="1"/>
  <c r="A46" i="1"/>
  <c r="E45" i="1"/>
  <c r="F46" i="1" l="1"/>
  <c r="H46" i="1" s="1"/>
  <c r="E46" i="1" s="1"/>
  <c r="B47" i="1" l="1"/>
  <c r="A47" i="1"/>
  <c r="C47" i="1"/>
  <c r="D47" i="1" l="1"/>
  <c r="F47" i="1" s="1"/>
  <c r="H47" i="1" s="1"/>
  <c r="C48" i="1" l="1"/>
  <c r="A48" i="1"/>
  <c r="B48" i="1"/>
  <c r="E47" i="1"/>
  <c r="D48" i="1" l="1"/>
  <c r="F48" i="1" s="1"/>
  <c r="H48" i="1" s="1"/>
  <c r="B49" i="1" l="1"/>
  <c r="A49" i="1"/>
  <c r="C49" i="1"/>
  <c r="E48" i="1"/>
  <c r="D49" i="1" l="1"/>
  <c r="F49" i="1" s="1"/>
  <c r="H49" i="1" l="1"/>
  <c r="C50" i="1" s="1"/>
  <c r="D50" i="1" s="1"/>
  <c r="E49" i="1" l="1"/>
  <c r="A50" i="1"/>
  <c r="B50" i="1"/>
  <c r="F50" i="1"/>
  <c r="H50" i="1" s="1"/>
  <c r="A51" i="1" l="1"/>
  <c r="B51" i="1"/>
  <c r="C51" i="1"/>
  <c r="E50" i="1"/>
  <c r="D51" i="1" l="1"/>
  <c r="F51" i="1" l="1"/>
  <c r="H51" i="1" s="1"/>
  <c r="B52" i="1" l="1"/>
  <c r="C52" i="1"/>
  <c r="A52" i="1"/>
  <c r="E51" i="1"/>
  <c r="D52" i="1" l="1"/>
  <c r="F52" i="1" s="1"/>
  <c r="H52" i="1" l="1"/>
  <c r="E52" i="1" s="1"/>
  <c r="A53" i="1" l="1"/>
  <c r="B53" i="1"/>
  <c r="C53" i="1"/>
  <c r="D53" i="1" s="1"/>
  <c r="F53" i="1" s="1"/>
  <c r="H53" i="1" l="1"/>
  <c r="A54" i="1" l="1"/>
  <c r="B54" i="1"/>
  <c r="C54" i="1"/>
  <c r="D54" i="1" s="1"/>
  <c r="E53" i="1"/>
  <c r="F54" i="1" l="1"/>
  <c r="H54" i="1" s="1"/>
  <c r="C55" i="1" l="1"/>
  <c r="D55" i="1" s="1"/>
  <c r="F55" i="1" s="1"/>
  <c r="H55" i="1" s="1"/>
  <c r="B55" i="1"/>
  <c r="A55" i="1"/>
  <c r="E54" i="1"/>
  <c r="B56" i="1" l="1"/>
  <c r="A56" i="1"/>
  <c r="C56" i="1"/>
  <c r="E55" i="1"/>
  <c r="D56" i="1" l="1"/>
  <c r="F56" i="1" l="1"/>
  <c r="H56" i="1" s="1"/>
  <c r="A57" i="1" l="1"/>
  <c r="C57" i="1"/>
  <c r="B57" i="1"/>
  <c r="E56" i="1"/>
  <c r="D57" i="1" l="1"/>
  <c r="F57" i="1" l="1"/>
  <c r="H57" i="1" s="1"/>
  <c r="C58" i="1" l="1"/>
  <c r="D58" i="1" s="1"/>
  <c r="A58" i="1"/>
  <c r="B58" i="1"/>
  <c r="E57" i="1"/>
  <c r="F58" i="1" l="1"/>
  <c r="H58" i="1" s="1"/>
  <c r="A59" i="1" l="1"/>
  <c r="C59" i="1"/>
  <c r="B59" i="1"/>
  <c r="D59" i="1"/>
  <c r="F59" i="1" s="1"/>
  <c r="E58" i="1"/>
  <c r="H59" i="1" l="1"/>
  <c r="B60" i="1" l="1"/>
  <c r="A60" i="1"/>
  <c r="C60" i="1"/>
  <c r="D60" i="1" s="1"/>
  <c r="F60" i="1" s="1"/>
  <c r="E59" i="1"/>
  <c r="H60" i="1" l="1"/>
  <c r="C61" i="1" l="1"/>
  <c r="D61" i="1" s="1"/>
  <c r="B61" i="1"/>
  <c r="A61" i="1"/>
  <c r="E60" i="1"/>
  <c r="F61" i="1" l="1"/>
  <c r="H61" i="1" s="1"/>
  <c r="C62" i="1" s="1"/>
  <c r="E61" i="1" l="1"/>
  <c r="A62" i="1"/>
  <c r="B62" i="1"/>
  <c r="D62" i="1"/>
  <c r="F62" i="1" s="1"/>
  <c r="H62" i="1" s="1"/>
  <c r="B63" i="1" l="1"/>
  <c r="A63" i="1"/>
  <c r="C63" i="1"/>
  <c r="D63" i="1" s="1"/>
  <c r="F63" i="1" s="1"/>
  <c r="E62" i="1"/>
  <c r="H63" i="1" l="1"/>
  <c r="A64" i="1" s="1"/>
  <c r="C64" i="1" l="1"/>
  <c r="D64" i="1" s="1"/>
  <c r="B64" i="1"/>
  <c r="E63" i="1"/>
  <c r="F64" i="1"/>
  <c r="H64" i="1" s="1"/>
  <c r="E64" i="1" s="1"/>
  <c r="A65" i="1" l="1"/>
  <c r="B65" i="1"/>
  <c r="C65" i="1"/>
  <c r="D65" i="1" s="1"/>
  <c r="F65" i="1" l="1"/>
  <c r="H65" i="1" s="1"/>
  <c r="C66" i="1" l="1"/>
  <c r="B66" i="1"/>
  <c r="D66" i="1"/>
  <c r="A66" i="1"/>
  <c r="E65" i="1"/>
  <c r="F66" i="1" l="1"/>
  <c r="H66" i="1" s="1"/>
  <c r="B67" i="1" s="1"/>
  <c r="E66" i="1" l="1"/>
  <c r="C67" i="1"/>
  <c r="D67" i="1" s="1"/>
  <c r="A67" i="1"/>
  <c r="F67" i="1" l="1"/>
  <c r="H67" i="1" s="1"/>
  <c r="A68" i="1" s="1"/>
  <c r="B68" i="1" l="1"/>
  <c r="E67" i="1"/>
  <c r="C68" i="1"/>
  <c r="D68" i="1" s="1"/>
  <c r="F68" i="1" s="1"/>
  <c r="H68" i="1" l="1"/>
  <c r="C69" i="1" s="1"/>
  <c r="E68" i="1"/>
  <c r="D69" i="1" l="1"/>
  <c r="F69" i="1" s="1"/>
  <c r="H69" i="1" s="1"/>
  <c r="A69" i="1"/>
  <c r="B69" i="1"/>
  <c r="C70" i="1"/>
  <c r="D70" i="1" s="1"/>
  <c r="A70" i="1"/>
  <c r="B70" i="1"/>
  <c r="E69" i="1"/>
  <c r="F70" i="1" l="1"/>
  <c r="H70" i="1" s="1"/>
  <c r="C71" i="1" l="1"/>
  <c r="D71" i="1" s="1"/>
  <c r="B71" i="1"/>
  <c r="A71" i="1"/>
  <c r="E70" i="1"/>
  <c r="F71" i="1" l="1"/>
  <c r="H71" i="1" s="1"/>
  <c r="A72" i="1" l="1"/>
  <c r="C72" i="1"/>
  <c r="B72" i="1"/>
  <c r="E71" i="1"/>
  <c r="D72" i="1" l="1"/>
  <c r="F72" i="1" s="1"/>
  <c r="H72" i="1" s="1"/>
  <c r="A73" i="1" l="1"/>
  <c r="C73" i="1"/>
  <c r="B73" i="1"/>
  <c r="E72" i="1"/>
  <c r="D73" i="1" l="1"/>
  <c r="F73" i="1" l="1"/>
  <c r="H73" i="1" s="1"/>
  <c r="B74" i="1" l="1"/>
  <c r="A74" i="1"/>
  <c r="C74" i="1"/>
  <c r="E73" i="1"/>
  <c r="D74" i="1" l="1"/>
  <c r="F74" i="1" s="1"/>
  <c r="H74" i="1" l="1"/>
  <c r="B75" i="1" l="1"/>
  <c r="A75" i="1"/>
  <c r="C75" i="1"/>
  <c r="E74" i="1"/>
  <c r="D75" i="1" l="1"/>
  <c r="F75" i="1" s="1"/>
  <c r="H75" i="1" s="1"/>
  <c r="B76" i="1" l="1"/>
  <c r="C76" i="1"/>
  <c r="A76" i="1"/>
  <c r="E75" i="1"/>
  <c r="D76" i="1" l="1"/>
  <c r="F76" i="1" l="1"/>
  <c r="H76" i="1" s="1"/>
  <c r="C77" i="1" l="1"/>
  <c r="B77" i="1"/>
  <c r="D77" i="1"/>
  <c r="F77" i="1" s="1"/>
  <c r="H77" i="1" s="1"/>
  <c r="A77" i="1"/>
  <c r="E76" i="1"/>
  <c r="C78" i="1" l="1"/>
  <c r="B78" i="1"/>
  <c r="A78" i="1"/>
  <c r="D78" i="1"/>
  <c r="E77" i="1"/>
  <c r="F78" i="1" l="1"/>
  <c r="H78" i="1" s="1"/>
  <c r="B79" i="1" l="1"/>
  <c r="A79" i="1"/>
  <c r="C79" i="1"/>
  <c r="E78" i="1"/>
  <c r="D79" i="1" l="1"/>
  <c r="F79" i="1" s="1"/>
  <c r="H79" i="1" s="1"/>
  <c r="A80" i="1" l="1"/>
  <c r="B80" i="1"/>
  <c r="C80" i="1"/>
  <c r="E79" i="1"/>
  <c r="D80" i="1" l="1"/>
  <c r="F80" i="1" l="1"/>
  <c r="H80" i="1" s="1"/>
  <c r="B81" i="1" l="1"/>
  <c r="A81" i="1"/>
  <c r="C81" i="1"/>
  <c r="E80" i="1"/>
  <c r="D81" i="1" l="1"/>
  <c r="F81" i="1" l="1"/>
  <c r="H81" i="1" s="1"/>
  <c r="C82" i="1" l="1"/>
  <c r="B82" i="1"/>
  <c r="A82" i="1"/>
  <c r="E81" i="1"/>
  <c r="D82" i="1" l="1"/>
  <c r="F82" i="1" l="1"/>
  <c r="H82" i="1" s="1"/>
  <c r="A83" i="1" l="1"/>
  <c r="C83" i="1"/>
  <c r="B83" i="1"/>
  <c r="E82" i="1"/>
  <c r="D83" i="1" l="1"/>
  <c r="F83" i="1" s="1"/>
  <c r="H83" i="1" s="1"/>
  <c r="B84" i="1" l="1"/>
  <c r="A84" i="1"/>
  <c r="C84" i="1"/>
  <c r="E83" i="1"/>
  <c r="D84" i="1" l="1"/>
  <c r="F84" i="1" s="1"/>
  <c r="H84" i="1" l="1"/>
  <c r="C85" i="1" l="1"/>
  <c r="A85" i="1"/>
  <c r="B85" i="1"/>
  <c r="D85" i="1"/>
  <c r="E84" i="1"/>
  <c r="F85" i="1" l="1"/>
  <c r="H85" i="1" s="1"/>
  <c r="C86" i="1" l="1"/>
  <c r="D86" i="1" s="1"/>
  <c r="A86" i="1"/>
  <c r="B86" i="1"/>
  <c r="E85" i="1"/>
  <c r="F86" i="1" l="1"/>
  <c r="H86" i="1" s="1"/>
  <c r="B87" i="1" l="1"/>
  <c r="A87" i="1"/>
  <c r="C87" i="1"/>
  <c r="E86" i="1"/>
  <c r="D87" i="1" l="1"/>
  <c r="F87" i="1" s="1"/>
  <c r="H87" i="1" l="1"/>
  <c r="B88" i="1" l="1"/>
  <c r="C88" i="1"/>
  <c r="A88" i="1"/>
  <c r="E87" i="1"/>
  <c r="D88" i="1" l="1"/>
  <c r="F88" i="1" s="1"/>
  <c r="H88" i="1" s="1"/>
  <c r="C89" i="1" l="1"/>
  <c r="B89" i="1"/>
  <c r="D89" i="1"/>
  <c r="F89" i="1" s="1"/>
  <c r="H89" i="1" s="1"/>
  <c r="A89" i="1"/>
  <c r="E88" i="1"/>
  <c r="C90" i="1" l="1"/>
  <c r="D90" i="1" s="1"/>
  <c r="F90" i="1" s="1"/>
  <c r="B90" i="1"/>
  <c r="A90" i="1"/>
  <c r="E89" i="1"/>
  <c r="H90" i="1" l="1"/>
  <c r="B91" i="1" l="1"/>
  <c r="A91" i="1"/>
  <c r="C91" i="1"/>
  <c r="E90" i="1"/>
  <c r="D91" i="1" l="1"/>
  <c r="F91" i="1" l="1"/>
  <c r="H91" i="1" s="1"/>
  <c r="B92" i="1" l="1"/>
  <c r="C92" i="1"/>
  <c r="D92" i="1" s="1"/>
  <c r="A92" i="1"/>
  <c r="E91" i="1"/>
  <c r="F92" i="1" l="1"/>
  <c r="H92" i="1"/>
  <c r="B93" i="1" l="1"/>
  <c r="A93" i="1"/>
  <c r="C93" i="1"/>
  <c r="D93" i="1"/>
  <c r="E92" i="1"/>
  <c r="F93" i="1" l="1"/>
  <c r="H93" i="1" s="1"/>
  <c r="B94" i="1" l="1"/>
  <c r="A94" i="1"/>
  <c r="C94" i="1"/>
  <c r="D94" i="1"/>
  <c r="E93" i="1"/>
  <c r="F94" i="1" l="1"/>
  <c r="H94" i="1" s="1"/>
  <c r="C95" i="1" s="1"/>
  <c r="E94" i="1" l="1"/>
  <c r="A95" i="1"/>
  <c r="B95" i="1"/>
  <c r="D95" i="1"/>
  <c r="F95" i="1" l="1"/>
  <c r="H95" i="1" s="1"/>
  <c r="A96" i="1" l="1"/>
  <c r="C96" i="1"/>
  <c r="D96" i="1" s="1"/>
  <c r="B96" i="1"/>
  <c r="E95" i="1"/>
  <c r="F96" i="1" l="1"/>
  <c r="H96" i="1" s="1"/>
  <c r="C97" i="1" l="1"/>
  <c r="B97" i="1"/>
  <c r="A97" i="1"/>
  <c r="E96" i="1"/>
  <c r="D97" i="1" l="1"/>
  <c r="F97" i="1" s="1"/>
  <c r="H97" i="1" l="1"/>
  <c r="B98" i="1" s="1"/>
  <c r="E97" i="1" l="1"/>
  <c r="C98" i="1"/>
  <c r="A98" i="1"/>
  <c r="D98" i="1"/>
  <c r="F98" i="1" l="1"/>
  <c r="H98" i="1" s="1"/>
  <c r="B99" i="1" l="1"/>
  <c r="A99" i="1"/>
  <c r="C99" i="1"/>
  <c r="D99" i="1"/>
  <c r="F99" i="1" s="1"/>
  <c r="H99" i="1" s="1"/>
  <c r="E98" i="1"/>
  <c r="B100" i="1" l="1"/>
  <c r="A100" i="1"/>
  <c r="C100" i="1"/>
  <c r="E99" i="1"/>
  <c r="D100" i="1" l="1"/>
  <c r="F100" i="1" s="1"/>
  <c r="H100" i="1" s="1"/>
  <c r="B101" i="1" l="1"/>
  <c r="C101" i="1"/>
  <c r="D101" i="1"/>
  <c r="F101" i="1" s="1"/>
  <c r="A101" i="1"/>
  <c r="E100" i="1"/>
  <c r="H101" i="1" l="1"/>
  <c r="C102" i="1" s="1"/>
  <c r="D102" i="1" s="1"/>
  <c r="A102" i="1" l="1"/>
  <c r="B102" i="1"/>
  <c r="E101" i="1"/>
  <c r="F102" i="1"/>
  <c r="H102" i="1" s="1"/>
  <c r="A103" i="1" l="1"/>
  <c r="C103" i="1"/>
  <c r="D103" i="1"/>
  <c r="B103" i="1"/>
  <c r="E102" i="1"/>
  <c r="F103" i="1" l="1"/>
  <c r="H103" i="1" s="1"/>
  <c r="B104" i="1" l="1"/>
  <c r="C104" i="1"/>
  <c r="D104" i="1" s="1"/>
  <c r="F104" i="1" s="1"/>
  <c r="H104" i="1" s="1"/>
  <c r="E103" i="1"/>
  <c r="A104" i="1"/>
  <c r="B105" i="1" l="1"/>
  <c r="A105" i="1"/>
  <c r="C105" i="1"/>
  <c r="D105" i="1" s="1"/>
  <c r="E104" i="1"/>
  <c r="F105" i="1" l="1"/>
  <c r="H105" i="1" s="1"/>
  <c r="B106" i="1" l="1"/>
  <c r="C106" i="1"/>
  <c r="D106" i="1" s="1"/>
  <c r="F106" i="1" s="1"/>
  <c r="A106" i="1"/>
  <c r="E105" i="1"/>
  <c r="H106" i="1" l="1"/>
  <c r="A107" i="1" l="1"/>
  <c r="B107" i="1"/>
  <c r="C107" i="1"/>
  <c r="D107" i="1" s="1"/>
  <c r="E106" i="1"/>
  <c r="F107" i="1" l="1"/>
  <c r="H107" i="1" s="1"/>
  <c r="A108" i="1" l="1"/>
  <c r="C108" i="1"/>
  <c r="B108" i="1"/>
  <c r="D108" i="1"/>
  <c r="E107" i="1"/>
  <c r="F108" i="1" l="1"/>
  <c r="H108" i="1"/>
  <c r="E108" i="1" s="1"/>
  <c r="B109" i="1" l="1"/>
  <c r="A109" i="1"/>
  <c r="C109" i="1"/>
  <c r="D109" i="1" l="1"/>
  <c r="F109" i="1" s="1"/>
  <c r="H109" i="1" l="1"/>
  <c r="A110" i="1" l="1"/>
  <c r="C110" i="1"/>
  <c r="B110" i="1"/>
  <c r="D110" i="1"/>
  <c r="F110" i="1" s="1"/>
  <c r="E109" i="1"/>
  <c r="H110" i="1" l="1"/>
  <c r="A111" i="1" l="1"/>
  <c r="C111" i="1"/>
  <c r="D111" i="1" s="1"/>
  <c r="B111" i="1"/>
  <c r="E110" i="1"/>
  <c r="F111" i="1" l="1"/>
  <c r="H111" i="1" s="1"/>
  <c r="A112" i="1" l="1"/>
  <c r="B112" i="1"/>
  <c r="C112" i="1"/>
  <c r="E111" i="1"/>
  <c r="D112" i="1" l="1"/>
  <c r="F112" i="1" s="1"/>
  <c r="H112" i="1" l="1"/>
  <c r="A113" i="1" l="1"/>
  <c r="C113" i="1"/>
  <c r="D113" i="1" s="1"/>
  <c r="B113" i="1"/>
  <c r="E112" i="1"/>
  <c r="F113" i="1" l="1"/>
  <c r="H113" i="1" s="1"/>
  <c r="B114" i="1" l="1"/>
  <c r="C114" i="1"/>
  <c r="D114" i="1" s="1"/>
  <c r="A114" i="1"/>
  <c r="E113" i="1"/>
  <c r="F114" i="1" l="1"/>
  <c r="H114" i="1" s="1"/>
  <c r="B115" i="1" l="1"/>
  <c r="A115" i="1"/>
  <c r="C115" i="1"/>
  <c r="E114" i="1"/>
  <c r="D115" i="1" l="1"/>
  <c r="F115" i="1" s="1"/>
  <c r="H115" i="1" l="1"/>
  <c r="C116" i="1" l="1"/>
  <c r="B116" i="1"/>
  <c r="A116" i="1"/>
  <c r="D116" i="1"/>
  <c r="F116" i="1" s="1"/>
  <c r="E115" i="1"/>
  <c r="H116" i="1" l="1"/>
  <c r="A117" i="1" l="1"/>
  <c r="B117" i="1"/>
  <c r="C117" i="1"/>
  <c r="E116" i="1"/>
  <c r="D117" i="1" l="1"/>
  <c r="F117" i="1"/>
  <c r="H117" i="1" l="1"/>
  <c r="A118" i="1" s="1"/>
  <c r="E117" i="1" l="1"/>
  <c r="C118" i="1"/>
  <c r="D118" i="1" s="1"/>
  <c r="B118" i="1"/>
  <c r="F118" i="1" l="1"/>
  <c r="H118" i="1" s="1"/>
  <c r="A119" i="1" l="1"/>
  <c r="B119" i="1"/>
  <c r="C119" i="1"/>
  <c r="D119" i="1" s="1"/>
  <c r="E118" i="1"/>
  <c r="F119" i="1" l="1"/>
  <c r="H119" i="1"/>
  <c r="E119" i="1" s="1"/>
  <c r="C120" i="1" l="1"/>
  <c r="D120" i="1" s="1"/>
  <c r="F120" i="1" s="1"/>
  <c r="H120" i="1" s="1"/>
  <c r="A120" i="1"/>
  <c r="B120" i="1"/>
  <c r="C121" i="1" l="1"/>
  <c r="D121" i="1" s="1"/>
  <c r="F121" i="1" s="1"/>
  <c r="H121" i="1" s="1"/>
  <c r="B121" i="1"/>
  <c r="A121" i="1"/>
  <c r="E120" i="1"/>
  <c r="A122" i="1" l="1"/>
  <c r="C122" i="1"/>
  <c r="D122" i="1" s="1"/>
  <c r="B122" i="1"/>
  <c r="E121" i="1"/>
  <c r="F122" i="1" l="1"/>
  <c r="H122" i="1" s="1"/>
  <c r="C123" i="1" l="1"/>
  <c r="D123" i="1" s="1"/>
  <c r="B123" i="1"/>
  <c r="A123" i="1"/>
  <c r="E122" i="1"/>
  <c r="F123" i="1" l="1"/>
  <c r="H123" i="1" s="1"/>
  <c r="E123" i="1" s="1"/>
  <c r="C124" i="1" l="1"/>
  <c r="D124" i="1" s="1"/>
  <c r="A124" i="1"/>
  <c r="B124" i="1"/>
  <c r="F124" i="1" l="1"/>
  <c r="H124" i="1" s="1"/>
  <c r="B125" i="1" l="1"/>
  <c r="C125" i="1"/>
  <c r="D125" i="1" s="1"/>
  <c r="E124" i="1"/>
  <c r="A125" i="1"/>
  <c r="F125" i="1" l="1"/>
  <c r="H125" i="1"/>
  <c r="A126" i="1" s="1"/>
  <c r="E125" i="1" l="1"/>
  <c r="C126" i="1"/>
  <c r="B126" i="1"/>
  <c r="D126" i="1"/>
  <c r="F126" i="1" s="1"/>
  <c r="H126" i="1" s="1"/>
  <c r="A127" i="1" l="1"/>
  <c r="C127" i="1"/>
  <c r="D127" i="1"/>
  <c r="B127" i="1"/>
  <c r="E126" i="1"/>
  <c r="F127" i="1" l="1"/>
  <c r="H127" i="1" s="1"/>
  <c r="B128" i="1" l="1"/>
  <c r="A128" i="1"/>
  <c r="C128" i="1"/>
  <c r="E127" i="1"/>
  <c r="D128" i="1" l="1"/>
  <c r="F128" i="1" s="1"/>
  <c r="H128" i="1" s="1"/>
  <c r="C129" i="1" l="1"/>
  <c r="D129" i="1" s="1"/>
  <c r="F129" i="1" s="1"/>
  <c r="B129" i="1"/>
  <c r="A129" i="1"/>
  <c r="E128" i="1"/>
  <c r="H129" i="1" l="1"/>
  <c r="A130" i="1" s="1"/>
  <c r="E129" i="1"/>
  <c r="C130" i="1" l="1"/>
  <c r="D130" i="1"/>
  <c r="B130" i="1"/>
  <c r="F130" i="1"/>
  <c r="H130" i="1" s="1"/>
  <c r="B131" i="1" l="1"/>
  <c r="A131" i="1"/>
  <c r="C131" i="1"/>
  <c r="D131" i="1" s="1"/>
  <c r="E130" i="1"/>
  <c r="F131" i="1" l="1"/>
  <c r="H131" i="1" s="1"/>
  <c r="C132" i="1" l="1"/>
  <c r="B132" i="1"/>
  <c r="A132" i="1"/>
  <c r="E131" i="1"/>
  <c r="D132" i="1" l="1"/>
  <c r="F132" i="1" l="1"/>
  <c r="H132" i="1" s="1"/>
  <c r="C133" i="1" l="1"/>
  <c r="B133" i="1"/>
  <c r="A133" i="1"/>
  <c r="D133" i="1"/>
  <c r="E132" i="1"/>
  <c r="F133" i="1" l="1"/>
  <c r="H133" i="1" s="1"/>
  <c r="A134" i="1" l="1"/>
  <c r="B134" i="1"/>
  <c r="C134" i="1"/>
  <c r="E133" i="1"/>
  <c r="D134" i="1" l="1"/>
  <c r="F134" i="1" s="1"/>
  <c r="H134" i="1" l="1"/>
  <c r="C135" i="1" l="1"/>
  <c r="A135" i="1"/>
  <c r="D135" i="1"/>
  <c r="F135" i="1" s="1"/>
  <c r="H135" i="1" s="1"/>
  <c r="B135" i="1"/>
  <c r="E134" i="1"/>
  <c r="B136" i="1" l="1"/>
  <c r="A136" i="1"/>
  <c r="C136" i="1"/>
  <c r="E135" i="1"/>
  <c r="D136" i="1" l="1"/>
  <c r="F136" i="1" s="1"/>
  <c r="H136" i="1" l="1"/>
  <c r="C137" i="1" l="1"/>
  <c r="D137" i="1"/>
  <c r="F137" i="1" s="1"/>
  <c r="A137" i="1"/>
  <c r="B137" i="1"/>
  <c r="E136" i="1"/>
  <c r="H137" i="1" l="1"/>
  <c r="A138" i="1" l="1"/>
  <c r="C138" i="1"/>
  <c r="B138" i="1"/>
  <c r="E137" i="1"/>
  <c r="D138" i="1" l="1"/>
  <c r="F138" i="1" l="1"/>
  <c r="H138" i="1" s="1"/>
  <c r="A139" i="1" l="1"/>
  <c r="B139" i="1"/>
  <c r="C139" i="1"/>
  <c r="D139" i="1"/>
  <c r="F139" i="1" s="1"/>
  <c r="E138" i="1"/>
  <c r="H139" i="1" l="1"/>
  <c r="B140" i="1" l="1"/>
  <c r="C140" i="1"/>
  <c r="F140" i="1" s="1"/>
  <c r="A140" i="1"/>
  <c r="D140" i="1"/>
  <c r="H140" i="1" s="1"/>
  <c r="E139" i="1"/>
  <c r="B141" i="1" l="1"/>
  <c r="C141" i="1"/>
  <c r="A141" i="1"/>
  <c r="E140" i="1"/>
  <c r="D141" i="1" l="1"/>
  <c r="F141" i="1" s="1"/>
  <c r="H141" i="1" l="1"/>
  <c r="C142" i="1" l="1"/>
  <c r="H142" i="1" s="1"/>
  <c r="B142" i="1"/>
  <c r="D142" i="1"/>
  <c r="F142" i="1"/>
  <c r="A142" i="1"/>
  <c r="E141" i="1"/>
  <c r="C143" i="1" l="1"/>
  <c r="A143" i="1"/>
  <c r="B143" i="1"/>
  <c r="D143" i="1"/>
  <c r="F143" i="1"/>
  <c r="H143" i="1"/>
  <c r="E142" i="1"/>
  <c r="B144" i="1" l="1"/>
  <c r="C144" i="1"/>
  <c r="F144" i="1" s="1"/>
  <c r="D144" i="1"/>
  <c r="H144" i="1" s="1"/>
  <c r="A144" i="1"/>
  <c r="E143" i="1"/>
  <c r="C145" i="1" l="1"/>
  <c r="A145" i="1"/>
  <c r="B145" i="1"/>
  <c r="D145" i="1"/>
  <c r="F145" i="1" s="1"/>
  <c r="E144" i="1"/>
  <c r="H145" i="1" l="1"/>
  <c r="B146" i="1" l="1"/>
  <c r="A146" i="1"/>
  <c r="C146" i="1"/>
  <c r="D146" i="1" s="1"/>
  <c r="E145" i="1"/>
  <c r="F146" i="1" l="1"/>
  <c r="H146" i="1"/>
  <c r="B147" i="1" l="1"/>
  <c r="C147" i="1"/>
  <c r="A147" i="1"/>
  <c r="E146" i="1"/>
  <c r="D147" i="1" l="1"/>
  <c r="F147" i="1" s="1"/>
  <c r="H147" i="1" l="1"/>
  <c r="B148" i="1" l="1"/>
  <c r="C148" i="1"/>
  <c r="A148" i="1"/>
  <c r="E147" i="1"/>
  <c r="D148" i="1" l="1"/>
  <c r="F148" i="1" l="1"/>
  <c r="H148" i="1" s="1"/>
  <c r="A149" i="1" l="1"/>
  <c r="C149" i="1"/>
  <c r="B149" i="1"/>
  <c r="E148" i="1"/>
  <c r="D149" i="1" l="1"/>
  <c r="F149" i="1" l="1"/>
  <c r="H149" i="1" s="1"/>
  <c r="B150" i="1" l="1"/>
  <c r="A150" i="1"/>
  <c r="C150" i="1"/>
  <c r="E149" i="1"/>
  <c r="D150" i="1" l="1"/>
  <c r="H150" i="1" s="1"/>
  <c r="F150" i="1"/>
  <c r="A151" i="1" l="1"/>
  <c r="B151" i="1"/>
  <c r="C151" i="1"/>
  <c r="F151" i="1" s="1"/>
  <c r="D151" i="1"/>
  <c r="E150" i="1"/>
  <c r="H151" i="1" l="1"/>
  <c r="E151" i="1"/>
  <c r="C152" i="1" l="1"/>
  <c r="B152" i="1"/>
  <c r="A152" i="1"/>
  <c r="D152" i="1"/>
  <c r="F152" i="1" s="1"/>
  <c r="H152" i="1" l="1"/>
  <c r="C153" i="1" l="1"/>
  <c r="D153" i="1"/>
  <c r="F153" i="1"/>
  <c r="H153" i="1" s="1"/>
  <c r="B153" i="1"/>
  <c r="A153" i="1"/>
  <c r="E152" i="1"/>
  <c r="A154" i="1" l="1"/>
  <c r="C154" i="1"/>
  <c r="D154" i="1"/>
  <c r="F154" i="1" s="1"/>
  <c r="B154" i="1"/>
  <c r="E153" i="1"/>
  <c r="H154" i="1" l="1"/>
  <c r="E154" i="1"/>
  <c r="A155" i="1" l="1"/>
  <c r="C155" i="1"/>
  <c r="B155" i="1"/>
  <c r="D155" i="1"/>
  <c r="F155" i="1" s="1"/>
  <c r="H155" i="1" s="1"/>
  <c r="A156" i="1" l="1"/>
  <c r="C156" i="1"/>
  <c r="B156" i="1"/>
  <c r="E155" i="1"/>
  <c r="D156" i="1" l="1"/>
  <c r="F156" i="1" l="1"/>
  <c r="H156" i="1" s="1"/>
  <c r="B157" i="1" l="1"/>
  <c r="C157" i="1"/>
  <c r="A157" i="1"/>
  <c r="E156" i="1"/>
  <c r="D157" i="1" l="1"/>
  <c r="F157" i="1" l="1"/>
  <c r="H157" i="1" s="1"/>
  <c r="A158" i="1" l="1"/>
  <c r="C158" i="1"/>
  <c r="B158" i="1"/>
  <c r="E157" i="1"/>
  <c r="D158" i="1" l="1"/>
  <c r="F158" i="1"/>
  <c r="H158" i="1" l="1"/>
  <c r="A159" i="1" l="1"/>
  <c r="C159" i="1"/>
  <c r="H159" i="1" s="1"/>
  <c r="B159" i="1"/>
  <c r="D159" i="1"/>
  <c r="F159" i="1"/>
  <c r="E158" i="1"/>
  <c r="B160" i="1" l="1"/>
  <c r="C160" i="1"/>
  <c r="A160" i="1"/>
  <c r="E159" i="1"/>
  <c r="D160" i="1" l="1"/>
  <c r="F160" i="1" l="1"/>
  <c r="H160" i="1" s="1"/>
  <c r="C161" i="1" l="1"/>
  <c r="B161" i="1"/>
  <c r="D161" i="1"/>
  <c r="F161" i="1" s="1"/>
  <c r="A161" i="1"/>
  <c r="E160" i="1"/>
  <c r="H161" i="1" l="1"/>
  <c r="C162" i="1" l="1"/>
  <c r="B162" i="1"/>
  <c r="A162" i="1"/>
  <c r="D162" i="1"/>
  <c r="H162" i="1" s="1"/>
  <c r="F162" i="1"/>
  <c r="E161" i="1"/>
  <c r="B163" i="1" l="1"/>
  <c r="A163" i="1"/>
  <c r="C163" i="1"/>
  <c r="E162" i="1"/>
  <c r="D163" i="1" l="1"/>
  <c r="F163" i="1"/>
  <c r="H163" i="1" s="1"/>
  <c r="B164" i="1" l="1"/>
  <c r="A164" i="1"/>
  <c r="C164" i="1"/>
  <c r="D164" i="1"/>
  <c r="F164" i="1" s="1"/>
  <c r="E163" i="1"/>
  <c r="H164" i="1" l="1"/>
  <c r="B165" i="1" l="1"/>
  <c r="C165" i="1"/>
  <c r="D165" i="1" s="1"/>
  <c r="A165" i="1"/>
  <c r="E164" i="1"/>
  <c r="F165" i="1" l="1"/>
  <c r="H165" i="1"/>
  <c r="C166" i="1" l="1"/>
  <c r="B166" i="1"/>
  <c r="A166" i="1"/>
  <c r="D166" i="1"/>
  <c r="H166" i="1" s="1"/>
  <c r="F166" i="1"/>
  <c r="E165" i="1"/>
  <c r="A167" i="1" l="1"/>
  <c r="C167" i="1"/>
  <c r="B167" i="1"/>
  <c r="E166" i="1"/>
  <c r="D167" i="1" l="1"/>
  <c r="F167" i="1" l="1"/>
  <c r="H167" i="1" s="1"/>
  <c r="C168" i="1" l="1"/>
  <c r="A168" i="1"/>
  <c r="B168" i="1"/>
  <c r="D168" i="1"/>
  <c r="F168" i="1"/>
  <c r="E167" i="1"/>
  <c r="H168" i="1" l="1"/>
  <c r="A169" i="1" l="1"/>
  <c r="B169" i="1"/>
  <c r="C169" i="1"/>
  <c r="E168" i="1"/>
  <c r="D169" i="1" l="1"/>
  <c r="F169" i="1" s="1"/>
  <c r="H169" i="1" l="1"/>
  <c r="A170" i="1" l="1"/>
  <c r="C170" i="1"/>
  <c r="B170" i="1"/>
  <c r="D170" i="1"/>
  <c r="H170" i="1" s="1"/>
  <c r="F170" i="1"/>
  <c r="E169" i="1"/>
  <c r="A171" i="1" l="1"/>
  <c r="B171" i="1"/>
  <c r="C171" i="1"/>
  <c r="E170" i="1"/>
  <c r="D171" i="1" l="1"/>
  <c r="F171" i="1"/>
  <c r="H171" i="1" l="1"/>
  <c r="C172" i="1" l="1"/>
  <c r="F172" i="1" s="1"/>
  <c r="H172" i="1" s="1"/>
  <c r="D172" i="1"/>
  <c r="B172" i="1"/>
  <c r="A172" i="1"/>
  <c r="E171" i="1"/>
  <c r="A173" i="1" l="1"/>
  <c r="C173" i="1"/>
  <c r="B173" i="1"/>
  <c r="D173" i="1"/>
  <c r="F173" i="1" s="1"/>
  <c r="E172" i="1"/>
  <c r="H173" i="1" l="1"/>
  <c r="E173" i="1"/>
  <c r="C174" i="1" l="1"/>
  <c r="B174" i="1"/>
  <c r="A174" i="1"/>
  <c r="D174" i="1"/>
  <c r="F174" i="1" l="1"/>
  <c r="H174" i="1" s="1"/>
  <c r="C175" i="1" l="1"/>
  <c r="D175" i="1" s="1"/>
  <c r="A175" i="1"/>
  <c r="B175" i="1"/>
  <c r="E174" i="1"/>
  <c r="F175" i="1" l="1"/>
  <c r="H175" i="1"/>
  <c r="B176" i="1" l="1"/>
  <c r="C176" i="1"/>
  <c r="H176" i="1" s="1"/>
  <c r="D176" i="1"/>
  <c r="A176" i="1"/>
  <c r="F176" i="1"/>
  <c r="E175" i="1"/>
  <c r="H177" i="1" l="1"/>
  <c r="B177" i="1"/>
  <c r="A177" i="1"/>
  <c r="C177" i="1"/>
  <c r="E177" i="1"/>
  <c r="F177" i="1"/>
  <c r="D177" i="1"/>
  <c r="E176" i="1"/>
  <c r="D178" i="1" l="1"/>
  <c r="B178" i="1"/>
  <c r="H178" i="1"/>
  <c r="E178" i="1"/>
  <c r="C178" i="1"/>
  <c r="A178" i="1"/>
  <c r="F178" i="1"/>
  <c r="E179" i="1" l="1"/>
  <c r="D179" i="1"/>
  <c r="B179" i="1"/>
  <c r="H179" i="1"/>
  <c r="C179" i="1"/>
  <c r="A179" i="1"/>
  <c r="F179" i="1"/>
  <c r="E180" i="1" l="1"/>
  <c r="D180" i="1"/>
  <c r="H180" i="1"/>
  <c r="C180" i="1"/>
  <c r="F180" i="1"/>
  <c r="B180" i="1"/>
  <c r="A180" i="1"/>
  <c r="H181" i="1" l="1"/>
  <c r="F181" i="1"/>
  <c r="C181" i="1"/>
  <c r="D181" i="1"/>
  <c r="B181" i="1"/>
  <c r="A181" i="1"/>
  <c r="E181" i="1"/>
  <c r="D182" i="1" l="1"/>
  <c r="C182" i="1"/>
  <c r="B182" i="1"/>
  <c r="F182" i="1"/>
  <c r="H182" i="1"/>
  <c r="E182" i="1"/>
  <c r="A182" i="1"/>
  <c r="A183" i="1" l="1"/>
  <c r="D183" i="1"/>
  <c r="E183" i="1"/>
  <c r="H183" i="1"/>
  <c r="F183" i="1"/>
  <c r="C183" i="1"/>
  <c r="B183" i="1"/>
  <c r="H184" i="1" l="1"/>
  <c r="C184" i="1"/>
  <c r="B184" i="1"/>
  <c r="F184" i="1"/>
  <c r="A184" i="1"/>
  <c r="E184" i="1"/>
  <c r="D184" i="1"/>
  <c r="C185" i="1" l="1"/>
  <c r="D185" i="1"/>
  <c r="E185" i="1"/>
  <c r="B185" i="1"/>
  <c r="A185" i="1"/>
  <c r="F185" i="1"/>
  <c r="H185" i="1"/>
  <c r="D186" i="1" l="1"/>
  <c r="A186" i="1"/>
  <c r="F186" i="1"/>
  <c r="C186" i="1"/>
  <c r="B186" i="1"/>
  <c r="H186" i="1"/>
  <c r="E186" i="1"/>
  <c r="E187" i="1" l="1"/>
  <c r="C187" i="1"/>
  <c r="H187" i="1"/>
  <c r="B187" i="1"/>
  <c r="A187" i="1"/>
  <c r="F187" i="1"/>
  <c r="D187" i="1"/>
  <c r="F188" i="1" l="1"/>
  <c r="A188" i="1"/>
  <c r="E188" i="1"/>
  <c r="B188" i="1"/>
  <c r="H188" i="1"/>
  <c r="D188" i="1"/>
  <c r="C188" i="1"/>
  <c r="A189" i="1" l="1"/>
  <c r="B189" i="1"/>
  <c r="E189" i="1"/>
  <c r="D189" i="1"/>
  <c r="H189" i="1"/>
  <c r="C189" i="1"/>
  <c r="F189" i="1"/>
  <c r="A190" i="1" l="1"/>
  <c r="E190" i="1"/>
  <c r="F190" i="1"/>
  <c r="C190" i="1"/>
  <c r="D190" i="1"/>
  <c r="H190" i="1"/>
  <c r="B190" i="1"/>
  <c r="D191" i="1" l="1"/>
  <c r="F191" i="1"/>
  <c r="B191" i="1"/>
  <c r="A191" i="1"/>
  <c r="C191" i="1"/>
  <c r="H191" i="1"/>
  <c r="E191" i="1"/>
  <c r="F192" i="1" l="1"/>
  <c r="B192" i="1"/>
  <c r="E192" i="1"/>
  <c r="D192" i="1"/>
  <c r="H192" i="1"/>
  <c r="C192" i="1"/>
  <c r="A192" i="1"/>
  <c r="C193" i="1" l="1"/>
  <c r="H193" i="1"/>
  <c r="D193" i="1"/>
  <c r="A193" i="1"/>
  <c r="B193" i="1"/>
  <c r="F193" i="1"/>
  <c r="E193" i="1"/>
  <c r="F194" i="1" l="1"/>
  <c r="C194" i="1"/>
  <c r="D194" i="1"/>
  <c r="E194" i="1"/>
  <c r="H194" i="1"/>
  <c r="B194" i="1"/>
  <c r="A194" i="1"/>
  <c r="B195" i="1" l="1"/>
  <c r="H195" i="1"/>
  <c r="F195" i="1"/>
  <c r="D195" i="1"/>
  <c r="A195" i="1"/>
  <c r="C195" i="1"/>
  <c r="E195" i="1"/>
  <c r="F196" i="1" l="1"/>
  <c r="D196" i="1"/>
  <c r="H196" i="1"/>
  <c r="E196" i="1"/>
  <c r="A196" i="1"/>
  <c r="C196" i="1"/>
  <c r="B196" i="1"/>
  <c r="H197" i="1" l="1"/>
  <c r="F197" i="1"/>
  <c r="D197" i="1"/>
  <c r="B197" i="1"/>
  <c r="E197" i="1"/>
  <c r="C197" i="1"/>
  <c r="A197" i="1"/>
  <c r="B198" i="1" l="1"/>
  <c r="A198" i="1"/>
  <c r="C198" i="1"/>
  <c r="F198" i="1"/>
  <c r="D198" i="1"/>
  <c r="E198" i="1"/>
  <c r="H198" i="1"/>
  <c r="A199" i="1" l="1"/>
  <c r="B199" i="1"/>
  <c r="D199" i="1"/>
  <c r="C199" i="1"/>
  <c r="E199" i="1"/>
  <c r="F199" i="1"/>
  <c r="H199" i="1"/>
  <c r="F200" i="1" l="1"/>
  <c r="E200" i="1"/>
  <c r="B200" i="1"/>
  <c r="D200" i="1"/>
  <c r="C200" i="1"/>
  <c r="A200" i="1"/>
  <c r="H200" i="1"/>
  <c r="F201" i="1" l="1"/>
  <c r="A201" i="1"/>
  <c r="E201" i="1"/>
  <c r="D201" i="1"/>
  <c r="C201" i="1"/>
  <c r="H201" i="1"/>
  <c r="B201" i="1"/>
  <c r="D202" i="1" l="1"/>
  <c r="C202" i="1"/>
  <c r="A202" i="1"/>
  <c r="H202" i="1"/>
  <c r="F202" i="1"/>
  <c r="E202" i="1"/>
  <c r="B202" i="1"/>
  <c r="E203" i="1" l="1"/>
  <c r="A203" i="1"/>
  <c r="F203" i="1"/>
  <c r="H203" i="1"/>
  <c r="D203" i="1"/>
  <c r="B203" i="1"/>
  <c r="C203" i="1"/>
  <c r="D204" i="1" l="1"/>
  <c r="H204" i="1"/>
  <c r="C204" i="1"/>
  <c r="F204" i="1"/>
  <c r="E204" i="1"/>
  <c r="B204" i="1"/>
  <c r="A204" i="1"/>
  <c r="D205" i="1" l="1"/>
  <c r="A205" i="1"/>
  <c r="C205" i="1"/>
  <c r="E205" i="1"/>
  <c r="H205" i="1"/>
  <c r="B205" i="1"/>
  <c r="F205" i="1"/>
  <c r="F206" i="1" l="1"/>
  <c r="B206" i="1"/>
  <c r="D206" i="1"/>
  <c r="E206" i="1"/>
  <c r="H206" i="1"/>
  <c r="C206" i="1"/>
  <c r="A206" i="1"/>
  <c r="B207" i="1" l="1"/>
  <c r="A207" i="1"/>
  <c r="D207" i="1"/>
  <c r="F207" i="1"/>
  <c r="H207" i="1"/>
  <c r="C207" i="1"/>
  <c r="E207" i="1"/>
  <c r="F208" i="1" l="1"/>
  <c r="E208" i="1"/>
  <c r="H208" i="1"/>
  <c r="B208" i="1"/>
  <c r="D208" i="1"/>
  <c r="C208" i="1"/>
  <c r="A208" i="1"/>
  <c r="H209" i="1" l="1"/>
  <c r="C209" i="1"/>
  <c r="A209" i="1"/>
  <c r="E209" i="1"/>
  <c r="F209" i="1"/>
  <c r="D209" i="1"/>
  <c r="B209" i="1"/>
  <c r="B210" i="1" l="1"/>
  <c r="A210" i="1"/>
  <c r="D210" i="1"/>
  <c r="E210" i="1"/>
  <c r="C210" i="1"/>
  <c r="H210" i="1"/>
  <c r="F210" i="1"/>
  <c r="C211" i="1" l="1"/>
  <c r="D211" i="1"/>
  <c r="H211" i="1"/>
  <c r="E211" i="1"/>
  <c r="B211" i="1"/>
  <c r="A211" i="1"/>
  <c r="F211" i="1"/>
  <c r="A212" i="1" l="1"/>
  <c r="D212" i="1"/>
  <c r="E212" i="1"/>
  <c r="H212" i="1"/>
  <c r="B212" i="1"/>
  <c r="F212" i="1"/>
  <c r="C212" i="1"/>
  <c r="E213" i="1" l="1"/>
  <c r="F213" i="1"/>
  <c r="H213" i="1"/>
  <c r="A213" i="1"/>
  <c r="C213" i="1"/>
  <c r="D213" i="1"/>
  <c r="B213" i="1"/>
  <c r="D214" i="1" l="1"/>
  <c r="C214" i="1"/>
  <c r="H214" i="1"/>
  <c r="E214" i="1"/>
  <c r="F214" i="1"/>
  <c r="A214" i="1"/>
  <c r="B214" i="1"/>
  <c r="H215" i="1" l="1"/>
  <c r="C215" i="1"/>
  <c r="E215" i="1"/>
  <c r="F215" i="1"/>
  <c r="D215" i="1"/>
  <c r="B215" i="1"/>
  <c r="A215" i="1"/>
  <c r="B216" i="1" l="1"/>
  <c r="A216" i="1"/>
  <c r="E216" i="1"/>
  <c r="C216" i="1"/>
  <c r="F216" i="1"/>
  <c r="D216" i="1"/>
  <c r="H216" i="1"/>
  <c r="C217" i="1" l="1"/>
  <c r="A217" i="1"/>
  <c r="H217" i="1"/>
  <c r="E217" i="1"/>
  <c r="B217" i="1"/>
  <c r="F217" i="1"/>
  <c r="D217" i="1"/>
  <c r="B218" i="1" l="1"/>
  <c r="F218" i="1"/>
  <c r="H218" i="1"/>
  <c r="A218" i="1"/>
  <c r="E218" i="1"/>
  <c r="D218" i="1"/>
  <c r="C218" i="1"/>
  <c r="D219" i="1" l="1"/>
  <c r="C219" i="1"/>
  <c r="B219" i="1"/>
  <c r="H219" i="1"/>
  <c r="F219" i="1"/>
  <c r="A219" i="1"/>
  <c r="E219" i="1"/>
  <c r="D220" i="1" l="1"/>
  <c r="E220" i="1"/>
  <c r="A220" i="1"/>
  <c r="H220" i="1"/>
  <c r="C220" i="1"/>
  <c r="B220" i="1"/>
  <c r="F220" i="1"/>
  <c r="B221" i="1" l="1"/>
  <c r="A221" i="1"/>
  <c r="F221" i="1"/>
  <c r="E221" i="1"/>
  <c r="H221" i="1"/>
  <c r="D221" i="1"/>
  <c r="C221" i="1"/>
  <c r="F222" i="1" l="1"/>
  <c r="H222" i="1"/>
  <c r="C222" i="1"/>
  <c r="D222" i="1"/>
  <c r="B222" i="1"/>
  <c r="E222" i="1"/>
  <c r="A222" i="1"/>
  <c r="H223" i="1" l="1"/>
  <c r="B223" i="1"/>
  <c r="C223" i="1"/>
  <c r="E223" i="1"/>
  <c r="A223" i="1"/>
  <c r="F223" i="1"/>
  <c r="D223" i="1"/>
  <c r="D224" i="1" l="1"/>
  <c r="H224" i="1"/>
  <c r="F224" i="1"/>
  <c r="B224" i="1"/>
  <c r="A224" i="1"/>
  <c r="E224" i="1"/>
  <c r="C224" i="1"/>
  <c r="C225" i="1" l="1"/>
  <c r="B225" i="1"/>
  <c r="A225" i="1"/>
  <c r="F225" i="1"/>
  <c r="D225" i="1"/>
  <c r="H225" i="1"/>
  <c r="E225" i="1"/>
  <c r="B226" i="1" l="1"/>
  <c r="F226" i="1"/>
  <c r="E226" i="1"/>
  <c r="A226" i="1"/>
  <c r="D226" i="1"/>
  <c r="H226" i="1"/>
  <c r="C226" i="1"/>
  <c r="C227" i="1" l="1"/>
  <c r="B227" i="1"/>
  <c r="A227" i="1"/>
  <c r="F227" i="1"/>
  <c r="D227" i="1"/>
  <c r="H227" i="1"/>
  <c r="E227" i="1"/>
  <c r="D228" i="1" l="1"/>
  <c r="C228" i="1"/>
  <c r="F228" i="1"/>
  <c r="B228" i="1"/>
  <c r="H228" i="1"/>
  <c r="E228" i="1"/>
  <c r="A228" i="1"/>
  <c r="E229" i="1" l="1"/>
  <c r="D229" i="1"/>
  <c r="H229" i="1"/>
  <c r="B229" i="1"/>
  <c r="F229" i="1"/>
  <c r="C229" i="1"/>
  <c r="A229" i="1"/>
  <c r="D230" i="1" l="1"/>
  <c r="C230" i="1"/>
  <c r="E230" i="1"/>
  <c r="H230" i="1"/>
  <c r="A230" i="1"/>
  <c r="F230" i="1"/>
  <c r="B230" i="1"/>
  <c r="D231" i="1" l="1"/>
  <c r="H231" i="1"/>
  <c r="E231" i="1"/>
  <c r="B231" i="1"/>
  <c r="A231" i="1"/>
  <c r="F231" i="1"/>
  <c r="C231" i="1"/>
  <c r="H232" i="1" l="1"/>
  <c r="F232" i="1"/>
  <c r="D232" i="1"/>
  <c r="E232" i="1"/>
  <c r="A232" i="1"/>
  <c r="C232" i="1"/>
  <c r="B232" i="1"/>
  <c r="B233" i="1" l="1"/>
  <c r="C233" i="1"/>
  <c r="H233" i="1"/>
  <c r="E233" i="1"/>
  <c r="A233" i="1"/>
  <c r="F233" i="1"/>
  <c r="D233" i="1"/>
  <c r="B234" i="1" l="1"/>
  <c r="A234" i="1"/>
  <c r="H234" i="1"/>
  <c r="F234" i="1"/>
  <c r="D234" i="1"/>
  <c r="E234" i="1"/>
  <c r="C234" i="1"/>
  <c r="C235" i="1" l="1"/>
  <c r="B235" i="1"/>
  <c r="H235" i="1"/>
  <c r="D235" i="1"/>
  <c r="A235" i="1"/>
  <c r="F235" i="1"/>
  <c r="E235" i="1"/>
  <c r="E236" i="1" l="1"/>
  <c r="H236" i="1"/>
  <c r="A236" i="1"/>
  <c r="D236" i="1"/>
  <c r="C236" i="1"/>
  <c r="B236" i="1"/>
  <c r="F236" i="1"/>
  <c r="E237" i="1" l="1"/>
  <c r="D237" i="1"/>
  <c r="H237" i="1"/>
  <c r="F237" i="1"/>
  <c r="B237" i="1"/>
  <c r="C237" i="1"/>
  <c r="A237" i="1"/>
  <c r="F238" i="1" l="1"/>
  <c r="E238" i="1"/>
  <c r="H238" i="1"/>
  <c r="D238" i="1"/>
  <c r="A238" i="1"/>
  <c r="B238" i="1"/>
  <c r="C238" i="1"/>
  <c r="H239" i="1" l="1"/>
  <c r="F239" i="1"/>
  <c r="D239" i="1"/>
  <c r="B239" i="1"/>
  <c r="E239" i="1"/>
  <c r="C239" i="1"/>
  <c r="A239" i="1"/>
  <c r="H240" i="1" l="1"/>
  <c r="A240" i="1"/>
  <c r="B240" i="1"/>
  <c r="F240" i="1"/>
  <c r="D240" i="1"/>
  <c r="E240" i="1"/>
  <c r="C240" i="1"/>
  <c r="A241" i="1" l="1"/>
  <c r="H241" i="1"/>
  <c r="B241" i="1"/>
  <c r="E241" i="1"/>
  <c r="D241" i="1"/>
  <c r="F241" i="1"/>
  <c r="C241" i="1"/>
  <c r="B242" i="1" l="1"/>
  <c r="A242" i="1"/>
  <c r="D242" i="1"/>
  <c r="H242" i="1"/>
  <c r="C242" i="1"/>
  <c r="F242" i="1"/>
  <c r="E242" i="1"/>
  <c r="C243" i="1" l="1"/>
  <c r="E243" i="1"/>
  <c r="A243" i="1"/>
  <c r="B243" i="1"/>
  <c r="H243" i="1"/>
  <c r="D243" i="1"/>
  <c r="F243" i="1"/>
  <c r="E244" i="1" l="1"/>
  <c r="B244" i="1"/>
  <c r="D244" i="1"/>
  <c r="C244" i="1"/>
  <c r="H244" i="1"/>
  <c r="A244" i="1"/>
  <c r="F244" i="1"/>
  <c r="E245" i="1" l="1"/>
  <c r="D245" i="1"/>
  <c r="C245" i="1"/>
  <c r="H245" i="1"/>
  <c r="F245" i="1"/>
  <c r="B245" i="1"/>
  <c r="A245" i="1"/>
  <c r="H246" i="1" l="1"/>
  <c r="C246" i="1"/>
  <c r="F246" i="1"/>
  <c r="E246" i="1"/>
  <c r="D246" i="1"/>
  <c r="A246" i="1"/>
  <c r="B246" i="1"/>
  <c r="H247" i="1" l="1"/>
  <c r="F247" i="1"/>
  <c r="A247" i="1"/>
  <c r="B247" i="1"/>
  <c r="D247" i="1"/>
  <c r="E247" i="1"/>
  <c r="C247" i="1"/>
  <c r="D248" i="1" l="1"/>
  <c r="E248" i="1"/>
  <c r="B248" i="1"/>
  <c r="C248" i="1"/>
  <c r="A248" i="1"/>
  <c r="H248" i="1"/>
  <c r="F248" i="1"/>
  <c r="C249" i="1" l="1"/>
  <c r="F249" i="1"/>
  <c r="E249" i="1"/>
  <c r="A249" i="1"/>
  <c r="D249" i="1"/>
  <c r="B249" i="1"/>
  <c r="H249" i="1"/>
  <c r="A250" i="1" l="1"/>
  <c r="F250" i="1"/>
  <c r="D250" i="1"/>
  <c r="C250" i="1"/>
  <c r="E250" i="1"/>
  <c r="H250" i="1"/>
  <c r="B250" i="1"/>
  <c r="H251" i="1" l="1"/>
  <c r="F251" i="1"/>
  <c r="E251" i="1"/>
  <c r="B251" i="1"/>
  <c r="D251" i="1"/>
  <c r="C251" i="1"/>
  <c r="A251" i="1"/>
  <c r="A252" i="1" l="1"/>
  <c r="F252" i="1"/>
  <c r="D252" i="1"/>
  <c r="H252" i="1"/>
  <c r="B252" i="1"/>
  <c r="E252" i="1"/>
  <c r="C252" i="1"/>
  <c r="C253" i="1" l="1"/>
  <c r="A253" i="1"/>
  <c r="B253" i="1"/>
  <c r="F253" i="1"/>
  <c r="D253" i="1"/>
  <c r="H253" i="1"/>
  <c r="E253" i="1"/>
  <c r="B254" i="1" l="1"/>
  <c r="H254" i="1"/>
  <c r="F254" i="1"/>
  <c r="A254" i="1"/>
  <c r="D254" i="1"/>
  <c r="C254" i="1"/>
  <c r="E254" i="1"/>
  <c r="A255" i="1" l="1"/>
  <c r="B255" i="1"/>
  <c r="H255" i="1"/>
  <c r="C255" i="1"/>
  <c r="F255" i="1"/>
  <c r="E255" i="1"/>
  <c r="D255" i="1"/>
  <c r="D256" i="1" l="1"/>
  <c r="H256" i="1"/>
  <c r="F256" i="1"/>
  <c r="C256" i="1"/>
  <c r="B256" i="1"/>
  <c r="E256" i="1"/>
  <c r="A256" i="1"/>
  <c r="B257" i="1" l="1"/>
  <c r="A257" i="1"/>
  <c r="C257" i="1"/>
  <c r="H257" i="1"/>
  <c r="F257" i="1"/>
  <c r="E257" i="1"/>
  <c r="D257" i="1"/>
  <c r="C258" i="1" l="1"/>
  <c r="E258" i="1"/>
  <c r="D258" i="1"/>
  <c r="A258" i="1"/>
  <c r="B258" i="1"/>
  <c r="H258" i="1"/>
  <c r="F258" i="1"/>
  <c r="H259" i="1" l="1"/>
  <c r="E259" i="1"/>
  <c r="D259" i="1"/>
  <c r="A259" i="1"/>
  <c r="F259" i="1"/>
  <c r="C259" i="1"/>
  <c r="B259" i="1"/>
  <c r="H260" i="1" l="1"/>
  <c r="E260" i="1"/>
  <c r="A260" i="1"/>
  <c r="F260" i="1"/>
  <c r="C260" i="1"/>
  <c r="D260" i="1"/>
  <c r="B260" i="1"/>
  <c r="A261" i="1" l="1"/>
  <c r="F261" i="1"/>
  <c r="C261" i="1"/>
  <c r="H261" i="1"/>
  <c r="B261" i="1"/>
  <c r="D261" i="1"/>
  <c r="E261" i="1"/>
  <c r="D262" i="1" l="1"/>
  <c r="B262" i="1"/>
  <c r="C262" i="1"/>
  <c r="E262" i="1"/>
  <c r="H262" i="1"/>
  <c r="A262" i="1"/>
  <c r="F262" i="1"/>
  <c r="E263" i="1" l="1"/>
  <c r="D263" i="1"/>
  <c r="B263" i="1"/>
  <c r="C263" i="1"/>
  <c r="H263" i="1"/>
  <c r="A263" i="1"/>
  <c r="F263" i="1"/>
  <c r="D264" i="1" l="1"/>
  <c r="H264" i="1"/>
  <c r="F264" i="1"/>
  <c r="C264" i="1"/>
  <c r="B264" i="1"/>
  <c r="E264" i="1"/>
  <c r="A264" i="1"/>
  <c r="B265" i="1" l="1"/>
  <c r="E265" i="1"/>
  <c r="H265" i="1"/>
  <c r="D265" i="1"/>
  <c r="C265" i="1"/>
  <c r="A265" i="1"/>
  <c r="F265" i="1"/>
  <c r="D266" i="1" l="1"/>
  <c r="F266" i="1"/>
  <c r="B266" i="1"/>
  <c r="A266" i="1"/>
  <c r="E266" i="1"/>
  <c r="H266" i="1"/>
  <c r="C266" i="1"/>
  <c r="H267" i="1" l="1"/>
  <c r="D267" i="1"/>
  <c r="C267" i="1"/>
  <c r="F267" i="1"/>
  <c r="B267" i="1"/>
  <c r="E267" i="1"/>
  <c r="A267" i="1"/>
  <c r="D268" i="1" l="1"/>
  <c r="C268" i="1"/>
  <c r="B268" i="1"/>
  <c r="F268" i="1"/>
  <c r="E268" i="1"/>
  <c r="A268" i="1"/>
  <c r="H268" i="1"/>
  <c r="E269" i="1" l="1"/>
  <c r="A269" i="1"/>
  <c r="H269" i="1"/>
  <c r="B269" i="1"/>
  <c r="C269" i="1"/>
  <c r="D269" i="1"/>
  <c r="F269" i="1"/>
  <c r="B270" i="1" l="1"/>
  <c r="A270" i="1"/>
  <c r="E270" i="1"/>
  <c r="F270" i="1"/>
  <c r="C270" i="1"/>
  <c r="D270" i="1"/>
  <c r="H270" i="1"/>
  <c r="H271" i="1" l="1"/>
  <c r="E271" i="1"/>
  <c r="F271" i="1"/>
  <c r="C271" i="1"/>
  <c r="D271" i="1"/>
  <c r="B271" i="1"/>
  <c r="A271" i="1"/>
  <c r="D272" i="1" l="1"/>
  <c r="F272" i="1"/>
  <c r="E272" i="1"/>
  <c r="C272" i="1"/>
  <c r="B272" i="1"/>
  <c r="A272" i="1"/>
  <c r="H272" i="1"/>
  <c r="E273" i="1" l="1"/>
  <c r="H273" i="1"/>
  <c r="D273" i="1"/>
  <c r="F273" i="1"/>
  <c r="C273" i="1"/>
  <c r="A273" i="1"/>
  <c r="B273" i="1"/>
  <c r="F274" i="1" l="1"/>
  <c r="A274" i="1"/>
  <c r="E274" i="1"/>
  <c r="C274" i="1"/>
  <c r="B274" i="1"/>
  <c r="H274" i="1"/>
  <c r="D274" i="1"/>
  <c r="E275" i="1" l="1"/>
  <c r="H275" i="1"/>
  <c r="B275" i="1"/>
  <c r="A275" i="1"/>
  <c r="C275" i="1"/>
  <c r="F275" i="1"/>
  <c r="D275" i="1"/>
  <c r="B276" i="1" l="1"/>
  <c r="E276" i="1"/>
  <c r="C276" i="1"/>
  <c r="H276" i="1"/>
  <c r="F276" i="1"/>
  <c r="D276" i="1"/>
  <c r="A276" i="1"/>
  <c r="A277" i="1" l="1"/>
  <c r="F277" i="1"/>
  <c r="E277" i="1"/>
  <c r="B277" i="1"/>
  <c r="C277" i="1"/>
  <c r="H277" i="1"/>
  <c r="D277" i="1"/>
  <c r="B278" i="1" l="1"/>
  <c r="C278" i="1"/>
  <c r="D278" i="1"/>
  <c r="A278" i="1"/>
  <c r="F278" i="1"/>
  <c r="E278" i="1"/>
  <c r="H278" i="1"/>
  <c r="E279" i="1" l="1"/>
  <c r="B279" i="1"/>
  <c r="D279" i="1"/>
  <c r="C279" i="1"/>
  <c r="A279" i="1"/>
  <c r="H279" i="1"/>
  <c r="F279" i="1"/>
  <c r="F280" i="1" l="1"/>
  <c r="E280" i="1"/>
  <c r="B280" i="1"/>
  <c r="D280" i="1"/>
  <c r="A280" i="1"/>
  <c r="H280" i="1"/>
  <c r="C280" i="1"/>
  <c r="C281" i="1" l="1"/>
  <c r="D281" i="1"/>
  <c r="E281" i="1"/>
  <c r="H281" i="1"/>
  <c r="F281" i="1"/>
  <c r="B281" i="1"/>
  <c r="A281" i="1"/>
  <c r="H282" i="1" l="1"/>
  <c r="D282" i="1"/>
  <c r="F282" i="1"/>
  <c r="A282" i="1"/>
  <c r="E282" i="1"/>
  <c r="C282" i="1"/>
  <c r="B282" i="1"/>
  <c r="C283" i="1" l="1"/>
  <c r="H283" i="1"/>
  <c r="B283" i="1"/>
  <c r="E283" i="1"/>
  <c r="D283" i="1"/>
  <c r="A283" i="1"/>
  <c r="F283" i="1"/>
  <c r="A284" i="1" l="1"/>
  <c r="E284" i="1"/>
  <c r="D284" i="1"/>
  <c r="H284" i="1"/>
  <c r="C284" i="1"/>
  <c r="F284" i="1"/>
  <c r="B284" i="1"/>
  <c r="A285" i="1" l="1"/>
  <c r="C285" i="1"/>
  <c r="E285" i="1"/>
  <c r="F285" i="1"/>
  <c r="D285" i="1"/>
  <c r="B285" i="1"/>
  <c r="H285" i="1"/>
  <c r="D286" i="1" l="1"/>
  <c r="B286" i="1"/>
  <c r="A286" i="1"/>
  <c r="C286" i="1"/>
  <c r="F286" i="1"/>
  <c r="H286" i="1"/>
  <c r="E286" i="1"/>
  <c r="E287" i="1" l="1"/>
  <c r="D287" i="1"/>
  <c r="A287" i="1"/>
  <c r="H287" i="1"/>
  <c r="B287" i="1"/>
  <c r="F287" i="1"/>
  <c r="C287" i="1"/>
  <c r="C288" i="1" l="1"/>
  <c r="B288" i="1"/>
  <c r="F288" i="1"/>
  <c r="E288" i="1"/>
  <c r="D288" i="1"/>
  <c r="A288" i="1"/>
  <c r="H288" i="1"/>
  <c r="B289" i="1" l="1"/>
  <c r="H289" i="1"/>
  <c r="F289" i="1"/>
  <c r="D289" i="1"/>
  <c r="C289" i="1"/>
  <c r="E289" i="1"/>
  <c r="A289" i="1"/>
  <c r="H290" i="1" l="1"/>
  <c r="B290" i="1"/>
  <c r="F290" i="1"/>
  <c r="E290" i="1"/>
  <c r="D290" i="1"/>
  <c r="C290" i="1"/>
  <c r="A290" i="1"/>
  <c r="F291" i="1" l="1"/>
  <c r="E291" i="1"/>
  <c r="D291" i="1"/>
  <c r="C291" i="1"/>
  <c r="B291" i="1"/>
  <c r="A291" i="1"/>
  <c r="H291" i="1"/>
  <c r="B292" i="1" l="1"/>
  <c r="A292" i="1"/>
  <c r="C292" i="1"/>
  <c r="F292" i="1"/>
  <c r="H292" i="1"/>
  <c r="E292" i="1"/>
  <c r="D292" i="1"/>
  <c r="F293" i="1" l="1"/>
  <c r="E293" i="1"/>
  <c r="H293" i="1"/>
  <c r="C293" i="1"/>
  <c r="B293" i="1"/>
  <c r="A293" i="1"/>
  <c r="D293" i="1"/>
  <c r="D294" i="1" l="1"/>
  <c r="C294" i="1"/>
  <c r="F294" i="1"/>
  <c r="H294" i="1"/>
  <c r="A294" i="1"/>
  <c r="E294" i="1"/>
  <c r="B294" i="1"/>
  <c r="E295" i="1" l="1"/>
  <c r="D295" i="1"/>
  <c r="A295" i="1"/>
  <c r="B295" i="1"/>
  <c r="H295" i="1"/>
  <c r="F295" i="1"/>
  <c r="C295" i="1"/>
  <c r="F296" i="1" l="1"/>
  <c r="E296" i="1"/>
  <c r="B296" i="1"/>
  <c r="H296" i="1"/>
  <c r="A296" i="1"/>
  <c r="D296" i="1"/>
  <c r="C296" i="1"/>
  <c r="C297" i="1" l="1"/>
  <c r="H297" i="1"/>
  <c r="F297" i="1"/>
  <c r="E297" i="1"/>
  <c r="D297" i="1"/>
  <c r="B297" i="1"/>
  <c r="A297" i="1"/>
  <c r="H298" i="1" l="1"/>
  <c r="D298" i="1"/>
  <c r="C298" i="1"/>
  <c r="F298" i="1"/>
  <c r="B298" i="1"/>
  <c r="E298" i="1"/>
  <c r="A298" i="1"/>
  <c r="A299" i="1" l="1"/>
  <c r="C299" i="1"/>
  <c r="H299" i="1"/>
  <c r="E299" i="1"/>
  <c r="D299" i="1"/>
  <c r="F299" i="1"/>
  <c r="B299" i="1"/>
  <c r="B300" i="1" l="1"/>
  <c r="E300" i="1"/>
  <c r="H300" i="1"/>
  <c r="A300" i="1"/>
  <c r="F300" i="1"/>
  <c r="C300" i="1"/>
  <c r="D300" i="1"/>
  <c r="E301" i="1" l="1"/>
  <c r="C301" i="1"/>
  <c r="B301" i="1"/>
  <c r="H301" i="1"/>
  <c r="F301" i="1"/>
  <c r="A301" i="1"/>
  <c r="D301" i="1"/>
  <c r="C302" i="1" l="1"/>
  <c r="B302" i="1"/>
  <c r="E302" i="1"/>
  <c r="H302" i="1"/>
  <c r="F302" i="1"/>
  <c r="A302" i="1"/>
  <c r="D302" i="1"/>
  <c r="A303" i="1" l="1"/>
  <c r="D303" i="1"/>
  <c r="H303" i="1"/>
  <c r="C303" i="1"/>
  <c r="E303" i="1"/>
  <c r="F303" i="1"/>
  <c r="B303" i="1"/>
  <c r="F304" i="1" l="1"/>
  <c r="E304" i="1"/>
  <c r="H304" i="1"/>
  <c r="D304" i="1"/>
  <c r="C304" i="1"/>
  <c r="A304" i="1"/>
  <c r="B304" i="1"/>
  <c r="E305" i="1" l="1"/>
  <c r="H305" i="1"/>
  <c r="C305" i="1"/>
  <c r="D305" i="1"/>
  <c r="B305" i="1"/>
  <c r="F305" i="1"/>
  <c r="A305" i="1"/>
  <c r="H306" i="1" l="1"/>
  <c r="F306" i="1"/>
  <c r="B306" i="1"/>
  <c r="D306" i="1"/>
  <c r="A306" i="1"/>
  <c r="C306" i="1"/>
  <c r="E306" i="1"/>
  <c r="A307" i="1" l="1"/>
  <c r="C307" i="1"/>
  <c r="B307" i="1"/>
  <c r="H307" i="1"/>
  <c r="E307" i="1"/>
  <c r="D307" i="1"/>
  <c r="F307" i="1"/>
  <c r="B308" i="1" l="1"/>
  <c r="A308" i="1"/>
  <c r="D308" i="1"/>
  <c r="C308" i="1"/>
  <c r="H308" i="1"/>
  <c r="F308" i="1"/>
  <c r="E308" i="1"/>
  <c r="B309" i="1" l="1"/>
  <c r="F309" i="1"/>
  <c r="H309" i="1"/>
  <c r="A309" i="1"/>
  <c r="D309" i="1"/>
  <c r="E309" i="1"/>
  <c r="C309" i="1"/>
  <c r="C310" i="1" l="1"/>
  <c r="F310" i="1"/>
  <c r="H310" i="1"/>
  <c r="B310" i="1"/>
  <c r="E310" i="1"/>
  <c r="A310" i="1"/>
  <c r="D310" i="1"/>
  <c r="D311" i="1" l="1"/>
  <c r="C311" i="1"/>
  <c r="A311" i="1"/>
  <c r="F311" i="1"/>
  <c r="B311" i="1"/>
  <c r="H311" i="1"/>
  <c r="E311" i="1"/>
  <c r="E312" i="1" l="1"/>
  <c r="H312" i="1"/>
  <c r="C312" i="1"/>
  <c r="B312" i="1"/>
  <c r="D312" i="1"/>
  <c r="F312" i="1"/>
  <c r="A312" i="1"/>
  <c r="F313" i="1" l="1"/>
  <c r="A313" i="1"/>
  <c r="B313" i="1"/>
  <c r="C313" i="1"/>
  <c r="E313" i="1"/>
  <c r="D313" i="1"/>
  <c r="H313" i="1"/>
  <c r="D314" i="1" l="1"/>
  <c r="E314" i="1"/>
  <c r="C314" i="1"/>
  <c r="F314" i="1"/>
  <c r="B314" i="1"/>
  <c r="A314" i="1"/>
  <c r="H314" i="1"/>
  <c r="H315" i="1" l="1"/>
  <c r="F315" i="1"/>
  <c r="C315" i="1"/>
  <c r="B315" i="1"/>
  <c r="D315" i="1"/>
  <c r="E315" i="1"/>
  <c r="A315" i="1"/>
  <c r="A316" i="1" l="1"/>
  <c r="H316" i="1"/>
  <c r="F316" i="1"/>
  <c r="D316" i="1"/>
  <c r="E316" i="1"/>
  <c r="C316" i="1"/>
  <c r="B316" i="1"/>
  <c r="B317" i="1" l="1"/>
  <c r="E317" i="1"/>
  <c r="A317" i="1"/>
  <c r="H317" i="1"/>
  <c r="D317" i="1"/>
  <c r="F317" i="1"/>
  <c r="C317" i="1"/>
  <c r="C318" i="1" l="1"/>
  <c r="H318" i="1"/>
  <c r="A318" i="1"/>
  <c r="D318" i="1"/>
  <c r="F318" i="1"/>
  <c r="B318" i="1"/>
  <c r="E318" i="1"/>
  <c r="D319" i="1" l="1"/>
  <c r="H319" i="1"/>
  <c r="E319" i="1"/>
  <c r="A319" i="1"/>
  <c r="C319" i="1"/>
  <c r="B319" i="1"/>
  <c r="F319" i="1"/>
  <c r="E320" i="1" l="1"/>
  <c r="D320" i="1"/>
  <c r="C320" i="1"/>
  <c r="A320" i="1"/>
  <c r="F320" i="1"/>
  <c r="H320" i="1"/>
  <c r="B320" i="1"/>
  <c r="H321" i="1" l="1"/>
  <c r="C321" i="1"/>
  <c r="B321" i="1"/>
  <c r="E321" i="1"/>
  <c r="F321" i="1"/>
  <c r="D321" i="1"/>
  <c r="A321" i="1"/>
  <c r="H322" i="1" l="1"/>
  <c r="D322" i="1"/>
  <c r="E322" i="1"/>
  <c r="C322" i="1"/>
  <c r="A322" i="1"/>
  <c r="F322" i="1"/>
  <c r="B322" i="1"/>
  <c r="A323" i="1" l="1"/>
  <c r="H323" i="1"/>
  <c r="F323" i="1"/>
  <c r="E323" i="1"/>
  <c r="B323" i="1"/>
  <c r="C323" i="1"/>
  <c r="D323" i="1"/>
  <c r="B324" i="1" l="1"/>
  <c r="F324" i="1"/>
  <c r="A324" i="1"/>
  <c r="C324" i="1"/>
  <c r="E324" i="1"/>
  <c r="H324" i="1"/>
  <c r="D324" i="1"/>
  <c r="C325" i="1" l="1"/>
  <c r="B325" i="1"/>
  <c r="H325" i="1"/>
  <c r="D325" i="1"/>
  <c r="A325" i="1"/>
  <c r="F325" i="1"/>
  <c r="E325" i="1"/>
  <c r="D326" i="1" l="1"/>
  <c r="C326" i="1"/>
  <c r="B326" i="1"/>
  <c r="F326" i="1"/>
  <c r="A326" i="1"/>
  <c r="E326" i="1"/>
  <c r="H326" i="1"/>
  <c r="E327" i="1" l="1"/>
  <c r="D327" i="1"/>
  <c r="B327" i="1"/>
  <c r="F327" i="1"/>
  <c r="C327" i="1"/>
  <c r="A327" i="1"/>
  <c r="H327" i="1"/>
  <c r="E328" i="1" l="1"/>
  <c r="A328" i="1"/>
  <c r="C328" i="1"/>
  <c r="H328" i="1"/>
  <c r="D328" i="1"/>
  <c r="B328" i="1"/>
  <c r="F328" i="1"/>
  <c r="H329" i="1" l="1"/>
  <c r="D329" i="1"/>
  <c r="B329" i="1"/>
  <c r="F329" i="1"/>
  <c r="E329" i="1"/>
  <c r="C329" i="1"/>
  <c r="A329" i="1"/>
  <c r="H330" i="1" l="1"/>
  <c r="F330" i="1"/>
  <c r="A330" i="1"/>
  <c r="C330" i="1"/>
  <c r="E330" i="1"/>
  <c r="D330" i="1"/>
  <c r="B330" i="1"/>
  <c r="A331" i="1" l="1"/>
  <c r="B331" i="1"/>
  <c r="E331" i="1"/>
  <c r="D331" i="1"/>
  <c r="H331" i="1"/>
  <c r="F331" i="1"/>
  <c r="C331" i="1"/>
  <c r="B332" i="1" l="1"/>
  <c r="A332" i="1"/>
  <c r="H332" i="1"/>
  <c r="E332" i="1"/>
  <c r="C332" i="1"/>
  <c r="F332" i="1"/>
  <c r="D332" i="1"/>
  <c r="C333" i="1" l="1"/>
  <c r="B333" i="1"/>
  <c r="A333" i="1"/>
  <c r="F333" i="1"/>
  <c r="D333" i="1"/>
  <c r="H333" i="1"/>
  <c r="E333" i="1"/>
  <c r="D334" i="1" l="1"/>
  <c r="C334" i="1"/>
  <c r="E334" i="1"/>
  <c r="F334" i="1"/>
  <c r="H334" i="1"/>
  <c r="A334" i="1"/>
  <c r="B334" i="1"/>
  <c r="E335" i="1" l="1"/>
  <c r="D335" i="1"/>
  <c r="B335" i="1"/>
  <c r="A335" i="1"/>
  <c r="F335" i="1"/>
  <c r="H335" i="1"/>
  <c r="C335" i="1"/>
  <c r="E336" i="1" l="1"/>
  <c r="H336" i="1"/>
  <c r="C336" i="1"/>
  <c r="A336" i="1"/>
  <c r="F336" i="1"/>
  <c r="D336" i="1"/>
  <c r="B336" i="1"/>
  <c r="H337" i="1" l="1"/>
  <c r="F337" i="1"/>
  <c r="C337" i="1"/>
  <c r="E337" i="1"/>
  <c r="D337" i="1"/>
  <c r="A337" i="1"/>
  <c r="B337" i="1"/>
  <c r="H338" i="1" l="1"/>
  <c r="F338" i="1"/>
  <c r="C338" i="1"/>
  <c r="E338" i="1"/>
  <c r="D338" i="1"/>
  <c r="A338" i="1"/>
  <c r="B338" i="1"/>
  <c r="A339" i="1" l="1"/>
  <c r="D339" i="1"/>
  <c r="H339" i="1"/>
  <c r="F339" i="1"/>
  <c r="E339" i="1"/>
  <c r="B339" i="1"/>
  <c r="C339" i="1"/>
  <c r="B340" i="1" l="1"/>
  <c r="A340" i="1"/>
  <c r="F340" i="1"/>
  <c r="H340" i="1"/>
  <c r="E340" i="1"/>
  <c r="C340" i="1"/>
  <c r="D340" i="1"/>
  <c r="C341" i="1" l="1"/>
  <c r="B341" i="1"/>
  <c r="F341" i="1"/>
  <c r="A341" i="1"/>
  <c r="H341" i="1"/>
  <c r="D341" i="1"/>
  <c r="E341" i="1"/>
  <c r="D342" i="1" l="1"/>
  <c r="C342" i="1"/>
  <c r="B342" i="1"/>
  <c r="H342" i="1"/>
  <c r="E342" i="1"/>
  <c r="A342" i="1"/>
  <c r="F342" i="1"/>
  <c r="E343" i="1" l="1"/>
  <c r="D343" i="1"/>
  <c r="C343" i="1"/>
  <c r="B343" i="1"/>
  <c r="A343" i="1"/>
  <c r="F343" i="1"/>
  <c r="H343" i="1"/>
  <c r="E344" i="1" l="1"/>
  <c r="A344" i="1"/>
  <c r="D344" i="1"/>
  <c r="C344" i="1"/>
  <c r="B344" i="1"/>
  <c r="H344" i="1"/>
  <c r="F344" i="1"/>
  <c r="H345" i="1" l="1"/>
  <c r="F345" i="1"/>
  <c r="C345" i="1"/>
  <c r="A345" i="1"/>
  <c r="E345" i="1"/>
  <c r="D345" i="1"/>
  <c r="B345" i="1"/>
  <c r="H346" i="1" l="1"/>
  <c r="E346" i="1"/>
  <c r="F346" i="1"/>
  <c r="C346" i="1"/>
  <c r="A346" i="1"/>
  <c r="D346" i="1"/>
  <c r="B346" i="1"/>
  <c r="A347" i="1" l="1"/>
  <c r="H347" i="1"/>
  <c r="F347" i="1"/>
  <c r="E347" i="1"/>
  <c r="B347" i="1"/>
  <c r="D347" i="1"/>
  <c r="C347" i="1"/>
  <c r="B348" i="1" l="1"/>
  <c r="F348" i="1"/>
  <c r="C348" i="1"/>
  <c r="D348" i="1"/>
  <c r="A348" i="1"/>
  <c r="E348" i="1"/>
  <c r="H348" i="1"/>
  <c r="F349" i="1" l="1"/>
  <c r="D349" i="1"/>
  <c r="A349" i="1"/>
  <c r="E349" i="1"/>
  <c r="C349" i="1"/>
  <c r="B349" i="1"/>
  <c r="H349" i="1"/>
  <c r="C350" i="1" l="1"/>
  <c r="A350" i="1"/>
  <c r="E350" i="1"/>
  <c r="F350" i="1"/>
  <c r="D350" i="1"/>
  <c r="H350" i="1"/>
  <c r="B350" i="1"/>
  <c r="E351" i="1" l="1"/>
  <c r="D351" i="1"/>
  <c r="F351" i="1"/>
  <c r="C351" i="1"/>
  <c r="B351" i="1"/>
  <c r="A351" i="1"/>
  <c r="H351" i="1"/>
  <c r="E352" i="1" l="1"/>
  <c r="D352" i="1"/>
  <c r="B352" i="1"/>
  <c r="H352" i="1"/>
  <c r="C352" i="1"/>
  <c r="F352" i="1"/>
  <c r="A352" i="1"/>
  <c r="H353" i="1" l="1"/>
  <c r="F353" i="1"/>
  <c r="D353" i="1"/>
  <c r="E353" i="1"/>
  <c r="C353" i="1"/>
  <c r="B353" i="1"/>
  <c r="A353" i="1"/>
  <c r="H354" i="1" l="1"/>
  <c r="F354" i="1"/>
  <c r="D354" i="1"/>
  <c r="A354" i="1"/>
  <c r="C354" i="1"/>
  <c r="E354" i="1"/>
  <c r="B354" i="1"/>
  <c r="A355" i="1" l="1"/>
  <c r="D355" i="1"/>
  <c r="B355" i="1"/>
  <c r="E355" i="1"/>
  <c r="F355" i="1"/>
  <c r="H355" i="1"/>
  <c r="C355" i="1"/>
  <c r="B356" i="1" l="1"/>
  <c r="A356" i="1"/>
  <c r="H356" i="1"/>
  <c r="D356" i="1"/>
  <c r="F356" i="1"/>
  <c r="E356" i="1"/>
  <c r="C356" i="1"/>
  <c r="C357" i="1" l="1"/>
  <c r="B357" i="1"/>
  <c r="A357" i="1"/>
  <c r="F357" i="1"/>
  <c r="D357" i="1"/>
  <c r="H357" i="1"/>
  <c r="E357" i="1"/>
  <c r="D358" i="1" l="1"/>
  <c r="E358" i="1"/>
  <c r="A358" i="1"/>
  <c r="C358" i="1"/>
  <c r="H358" i="1"/>
  <c r="B358" i="1"/>
  <c r="F358" i="1"/>
  <c r="E359" i="1" l="1"/>
  <c r="D359" i="1"/>
  <c r="B359" i="1"/>
  <c r="C359" i="1"/>
  <c r="A359" i="1"/>
  <c r="F359" i="1"/>
  <c r="H359" i="1"/>
  <c r="E360" i="1" l="1"/>
  <c r="H360" i="1"/>
  <c r="B360" i="1"/>
  <c r="A360" i="1"/>
  <c r="D360" i="1"/>
  <c r="C360" i="1"/>
  <c r="F360" i="1"/>
  <c r="H361" i="1" l="1"/>
  <c r="E361" i="1"/>
  <c r="B361" i="1"/>
  <c r="F361" i="1"/>
  <c r="D361" i="1"/>
  <c r="C361" i="1"/>
  <c r="A361" i="1"/>
  <c r="H362" i="1" l="1"/>
  <c r="E362" i="1"/>
  <c r="A362" i="1"/>
  <c r="D362" i="1"/>
  <c r="C362" i="1"/>
  <c r="F362" i="1"/>
  <c r="B362" i="1"/>
  <c r="A363" i="1" l="1"/>
  <c r="B363" i="1"/>
  <c r="E363" i="1"/>
  <c r="C363" i="1"/>
  <c r="H363" i="1"/>
  <c r="D363" i="1"/>
  <c r="F363" i="1"/>
  <c r="B364" i="1" l="1"/>
  <c r="C364" i="1"/>
  <c r="F364" i="1"/>
  <c r="A364" i="1"/>
  <c r="E364" i="1"/>
  <c r="H364" i="1"/>
  <c r="D364" i="1"/>
  <c r="C365" i="1" l="1"/>
  <c r="B365" i="1"/>
  <c r="H365" i="1"/>
  <c r="F365" i="1"/>
  <c r="D365" i="1"/>
  <c r="E365" i="1"/>
  <c r="A365" i="1"/>
  <c r="D366" i="1" l="1"/>
  <c r="C366" i="1"/>
  <c r="B366" i="1"/>
  <c r="A366" i="1"/>
  <c r="H366" i="1"/>
  <c r="E366" i="1"/>
  <c r="F366" i="1"/>
  <c r="E367" i="1" l="1"/>
  <c r="D367" i="1"/>
  <c r="A367" i="1"/>
  <c r="F367" i="1"/>
  <c r="B367" i="1"/>
  <c r="C367" i="1"/>
  <c r="H367" i="1"/>
  <c r="E368" i="1" l="1"/>
  <c r="B368" i="1"/>
  <c r="H368" i="1"/>
  <c r="C368" i="1"/>
  <c r="A368" i="1"/>
  <c r="D368" i="1"/>
  <c r="F368" i="1"/>
  <c r="H369" i="1" l="1"/>
  <c r="F369" i="1"/>
  <c r="E369" i="1"/>
  <c r="B369" i="1"/>
  <c r="C369" i="1"/>
  <c r="A369" i="1"/>
  <c r="D369" i="1"/>
  <c r="H370" i="1" l="1"/>
  <c r="A370" i="1"/>
  <c r="E370" i="1"/>
  <c r="D370" i="1"/>
  <c r="C370" i="1"/>
  <c r="F370" i="1"/>
  <c r="B370" i="1"/>
  <c r="A371" i="1" l="1"/>
  <c r="D371" i="1"/>
  <c r="F371" i="1"/>
  <c r="E371" i="1"/>
  <c r="H371" i="1"/>
  <c r="B371" i="1"/>
  <c r="C371" i="1"/>
  <c r="B372" i="1" l="1"/>
  <c r="A372" i="1"/>
  <c r="H372" i="1"/>
  <c r="D372" i="1"/>
  <c r="C372" i="1"/>
  <c r="F372" i="1"/>
  <c r="E372" i="1"/>
  <c r="C373" i="1" l="1"/>
  <c r="B373" i="1"/>
  <c r="F373" i="1"/>
  <c r="H373" i="1"/>
  <c r="D373" i="1"/>
  <c r="A373" i="1"/>
  <c r="E373" i="1"/>
  <c r="D374" i="1" l="1"/>
  <c r="E374" i="1"/>
  <c r="C374" i="1"/>
  <c r="H374" i="1"/>
  <c r="B374" i="1"/>
  <c r="A374" i="1"/>
  <c r="F374" i="1"/>
  <c r="F375" i="1" l="1"/>
  <c r="H10" i="1" s="1"/>
  <c r="E375" i="1"/>
  <c r="E376" i="1" s="1"/>
  <c r="C375" i="1"/>
  <c r="D375" i="1"/>
  <c r="B375" i="1"/>
  <c r="A375" i="1"/>
  <c r="H375" i="1"/>
  <c r="D376" i="1" l="1"/>
  <c r="H9" i="1"/>
  <c r="F376" i="1"/>
  <c r="H7" i="1"/>
  <c r="H8" i="1" s="1"/>
  <c r="G376" i="1"/>
</calcChain>
</file>

<file path=xl/sharedStrings.xml><?xml version="1.0" encoding="utf-8"?>
<sst xmlns="http://schemas.openxmlformats.org/spreadsheetml/2006/main" count="27" uniqueCount="27">
  <si>
    <t>Compta Clear Sàrl / Bosquets de Paudille 23 - 1803 Chardonne / 021 323 90 00 / info@comptaclear.ch / www.comptaclear.ch</t>
  </si>
  <si>
    <t>Téléchargeable gratuitement sous https://comptaclear.ch/telechargements/</t>
  </si>
  <si>
    <t>CALCULATEUR DE REMBOURSEMENT DE DETTE</t>
  </si>
  <si>
    <t>Renseignez les 4 cellules jaunes — tout se calcule automatiquement</t>
  </si>
  <si>
    <t xml:space="preserve">  PARAMÈTRES D'ENTRÉE</t>
  </si>
  <si>
    <t xml:space="preserve">  RÉSULTATS</t>
  </si>
  <si>
    <t>Montant de la dette (CHF)</t>
  </si>
  <si>
    <t>Nombre de mois</t>
  </si>
  <si>
    <t>Taux d'intérêt annuel (%)</t>
  </si>
  <si>
    <t>Date de fin estimée</t>
  </si>
  <si>
    <t>Paiement mensuel (CHF)</t>
  </si>
  <si>
    <t>Total des intérêts payés</t>
  </si>
  <si>
    <t>Date de départ</t>
  </si>
  <si>
    <t>Montant total remboursé</t>
  </si>
  <si>
    <t xml:space="preserve">  TABLEAU D'AMORTISSEMENT — les lignes disparaissent automatiquement une fois la dette remboursée</t>
  </si>
  <si>
    <t>Mois</t>
  </si>
  <si>
    <t>Date paiement</t>
  </si>
  <si>
    <t>Solde début (CHF)</t>
  </si>
  <si>
    <t>Intérêts (CHF)</t>
  </si>
  <si>
    <t>Capital (CHF)</t>
  </si>
  <si>
    <t>Paiement (CHF)</t>
  </si>
  <si>
    <t>Solde fin (CHF)</t>
  </si>
  <si>
    <t>TOTAUX</t>
  </si>
  <si>
    <t>Remb. Supplémentaire</t>
  </si>
  <si>
    <t>Si le paiement mensuel ≤ intérêts du mois, la dette ne sera jamais remboursée. Colonne "Remb. supplémentaire" = saisissez un montant pour un remboursement ponctuel.</t>
  </si>
  <si>
    <t>Note importante – Conditions d’utilisation</t>
  </si>
  <si>
    <t>Cet outil constitue un aide-mémoire budgétaire à usage privé. Il a été développé par la fiduciaire Compta Clear Sàrl (https://comptaclear.ch) à titre purement informatif. Les informations, calculs et estimations fournis ne constituent ni un conseil financier, fiscal ou juridique et sont fournis sans garantie quant à leur exactitude, leur exhaustivité ou leur adéquation à une situation particulière. Compta Clear Sàrl décline toute responsabilité en cas d’erreurs, d’omissions, de mauvaise interprétation ou d’utilisation inappropriée de ce document, ainsi que pour toute décision prise sur la base des informations qu’il contient. En téléchargeant et en utilisant ce fichier, l’utilisateur accepte tacitement les conditions générales de Compta Clear Sàrl.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</si>
</sst>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CHF&quot;"/>
    <numFmt numFmtId="165" formatCode="0&quot; mois&quot;"/>
    <numFmt numFmtId="166" formatCode="dd/mm/yyyy"/>
  </numFmts>
  <fonts count="20" x14ac:knownFonts="1">
    <font>
      <sz val="11"/>
      <color theme="1"/>
      <name val="Calibri"/>
      <family val="2"/>
      <charset val="1"/>
    </font>
    <font>
      <sz val="12"/>
      <color theme="1"/>
      <name val="Calibri"/>
      <family val="2"/>
      <charset val="1"/>
    </font>
    <font>
      <u/>
      <sz val="12"/>
      <color theme="10"/>
      <name val="Calibri"/>
      <family val="2"/>
      <charset val="1"/>
    </font>
    <font>
      <b/>
      <sz val="15"/>
      <color rgb="FFFFFFFF"/>
      <name val="Arial"/>
      <family val="2"/>
      <charset val="1"/>
    </font>
    <font>
      <i/>
      <sz val="9"/>
      <color rgb="FF7D6608"/>
      <name val="Arial"/>
      <family val="2"/>
      <charset val="1"/>
    </font>
    <font>
      <b/>
      <sz val="10"/>
      <color rgb="FFFFFFFF"/>
      <name val="Arial"/>
      <family val="2"/>
      <charset val="1"/>
    </font>
    <font>
      <b/>
      <sz val="10"/>
      <color rgb="FF2C3E50"/>
      <name val="Arial"/>
      <family val="2"/>
      <charset val="1"/>
    </font>
    <font>
      <b/>
      <sz val="11"/>
      <color rgb="FF0000FF"/>
      <name val="Arial"/>
      <family val="2"/>
      <charset val="1"/>
    </font>
    <font>
      <b/>
      <sz val="10"/>
      <color rgb="FF1A5276"/>
      <name val="Arial"/>
      <family val="2"/>
      <charset val="1"/>
    </font>
    <font>
      <b/>
      <sz val="11"/>
      <color rgb="FF000000"/>
      <name val="Arial"/>
      <family val="2"/>
      <charset val="1"/>
    </font>
    <font>
      <b/>
      <sz val="9"/>
      <color rgb="FFFFFFFF"/>
      <name val="Arial"/>
      <family val="2"/>
    </font>
    <font>
      <sz val="10"/>
      <color rgb="FF888888"/>
      <name val="Arial"/>
      <family val="2"/>
      <charset val="1"/>
    </font>
    <font>
      <sz val="10"/>
      <color rgb="FF000000"/>
      <name val="Arial"/>
      <family val="2"/>
      <charset val="1"/>
    </font>
    <font>
      <sz val="10"/>
      <color rgb="FFC0392B"/>
      <name val="Arial"/>
      <family val="2"/>
      <charset val="1"/>
    </font>
    <font>
      <sz val="10"/>
      <color rgb="FF1E8449"/>
      <name val="Arial"/>
      <family val="2"/>
      <charset val="1"/>
    </font>
    <font>
      <b/>
      <sz val="10"/>
      <color rgb="FF000000"/>
      <name val="Arial"/>
      <family val="2"/>
      <charset val="1"/>
    </font>
    <font>
      <b/>
      <sz val="9"/>
      <color rgb="FF0000CC"/>
      <name val="Arial"/>
      <family val="2"/>
    </font>
    <font>
      <b/>
      <sz val="9"/>
      <color rgb="FF1A5276"/>
      <name val="Arial"/>
      <family val="2"/>
    </font>
    <font>
      <b/>
      <sz val="10"/>
      <color rgb="FFFFFFFF"/>
      <name val="Arial"/>
      <family val="2"/>
    </font>
    <font>
      <i/>
      <sz val="9"/>
      <color rgb="FF888888"/>
      <name val="Arial"/>
      <family val="2"/>
    </font>
  </fonts>
  <fills count="12">
    <fill>
      <patternFill patternType="none"/>
    </fill>
    <fill>
      <patternFill patternType="gray125"/>
    </fill>
    <fill>
      <patternFill patternType="solid">
        <fgColor rgb="FF1B2A4A"/>
        <bgColor rgb="FF2C3E50"/>
      </patternFill>
    </fill>
    <fill>
      <patternFill patternType="solid">
        <fgColor rgb="FFFEFBD8"/>
        <bgColor rgb="FFFFF3CD"/>
      </patternFill>
    </fill>
    <fill>
      <patternFill patternType="solid">
        <fgColor rgb="FF2C3E50"/>
        <bgColor rgb="FF1B2A4A"/>
      </patternFill>
    </fill>
    <fill>
      <patternFill patternType="solid">
        <fgColor rgb="FF1E8449"/>
        <bgColor rgb="FF008080"/>
      </patternFill>
    </fill>
    <fill>
      <patternFill patternType="solid">
        <fgColor rgb="FFD6EAF8"/>
        <bgColor rgb="FFD5F5E3"/>
      </patternFill>
    </fill>
    <fill>
      <patternFill patternType="solid">
        <fgColor rgb="FFFFF3CD"/>
        <bgColor rgb="FFFEFBD8"/>
      </patternFill>
    </fill>
    <fill>
      <patternFill patternType="solid">
        <fgColor rgb="FFD5F5E3"/>
        <bgColor rgb="FFD6EAF8"/>
      </patternFill>
    </fill>
    <fill>
      <patternFill patternType="solid">
        <fgColor rgb="FFFFFFFF"/>
        <bgColor rgb="FFF4F6F9"/>
      </patternFill>
    </fill>
    <fill>
      <patternFill patternType="solid">
        <fgColor rgb="FFFAE5D3"/>
        <bgColor rgb="FFFFF3CD"/>
      </patternFill>
    </fill>
    <fill>
      <patternFill patternType="solid">
        <fgColor rgb="FFF4F6F9"/>
        <bgColor rgb="FFFFFFFF"/>
      </patternFill>
    </fill>
  </fills>
  <borders count="13">
    <border>
      <left/>
      <right/>
      <top/>
      <bottom/>
      <diagonal/>
    </border>
    <border>
      <left style="thin">
        <color rgb="FFBDC3C7"/>
      </left>
      <right style="thin">
        <color rgb="FFBDC3C7"/>
      </right>
      <top/>
      <bottom/>
      <diagonal/>
    </border>
    <border>
      <left style="thin">
        <color rgb="FFBDC3C7"/>
      </left>
      <right style="thin">
        <color rgb="FFBDC3C7"/>
      </right>
      <top style="thin">
        <color rgb="FFBDC3C7"/>
      </top>
      <bottom style="thin">
        <color rgb="FFBDC3C7"/>
      </bottom>
      <diagonal/>
    </border>
    <border>
      <left style="thin">
        <color rgb="FFBDC3C7"/>
      </left>
      <right style="thin">
        <color rgb="FFBDC3C7"/>
      </right>
      <top/>
      <bottom style="thin">
        <color rgb="FFBDC3C7"/>
      </bottom>
      <diagonal/>
    </border>
    <border>
      <left style="thin">
        <color rgb="FFBDC3C7"/>
      </left>
      <right/>
      <top style="thin">
        <color rgb="FFBDC3C7"/>
      </top>
      <bottom style="thin">
        <color rgb="FFBDC3C7"/>
      </bottom>
      <diagonal/>
    </border>
    <border>
      <left style="thin">
        <color theme="1"/>
      </left>
      <right/>
      <top/>
      <bottom/>
      <diagonal/>
    </border>
    <border>
      <left style="thin">
        <color rgb="FFBDC3C7"/>
      </left>
      <right/>
      <top/>
      <bottom/>
      <diagonal/>
    </border>
    <border>
      <left/>
      <right style="thin">
        <color rgb="FFBDC3C7"/>
      </right>
      <top/>
      <bottom/>
      <diagonal/>
    </border>
    <border>
      <left/>
      <right/>
      <top/>
      <bottom style="thin">
        <color rgb="FFBDC3C7"/>
      </bottom>
      <diagonal/>
    </border>
    <border>
      <left style="thick">
        <color rgb="FFFF0000"/>
      </left>
      <right style="thick">
        <color rgb="FFFF0000"/>
      </right>
      <top style="thick">
        <color rgb="FFFF0000"/>
      </top>
      <bottom style="thin">
        <color rgb="FFBDC3C7"/>
      </bottom>
      <diagonal/>
    </border>
    <border>
      <left style="thick">
        <color rgb="FFFF0000"/>
      </left>
      <right style="thick">
        <color rgb="FFFF0000"/>
      </right>
      <top style="thin">
        <color rgb="FFBDC3C7"/>
      </top>
      <bottom style="thin">
        <color rgb="FFBDC3C7"/>
      </bottom>
      <diagonal/>
    </border>
    <border>
      <left style="thick">
        <color rgb="FFFF0000"/>
      </left>
      <right style="thick">
        <color rgb="FFFF0000"/>
      </right>
      <top style="thin">
        <color rgb="FFBDC3C7"/>
      </top>
      <bottom style="thick">
        <color rgb="FFFF0000"/>
      </bottom>
      <diagonal/>
    </border>
    <border>
      <left/>
      <right/>
      <top style="thin">
        <color rgb="FFBDC3C7"/>
      </top>
      <bottom/>
      <diagonal/>
    </border>
  </borders>
  <cellStyleXfs count="1">
    <xf numFmtId="0" fontId="0" fillId="0" borderId="0"/>
  </cellStyleXfs>
  <cellXfs count="44">
    <xf numFmtId="0" fontId="0" fillId="0" borderId="0" xfId="0"/>
    <xf numFmtId="165" fontId="9" fillId="8" borderId="2" xfId="0" applyNumberFormat="1" applyFont="1" applyFill="1" applyBorder="1" applyAlignment="1">
      <alignment horizontal="right" vertical="center"/>
    </xf>
    <xf numFmtId="166" fontId="9" fillId="8" borderId="2" xfId="0" applyNumberFormat="1" applyFont="1" applyFill="1" applyBorder="1" applyAlignment="1">
      <alignment horizontal="right" vertical="center"/>
    </xf>
    <xf numFmtId="164" fontId="9" fillId="8" borderId="2" xfId="0" applyNumberFormat="1" applyFont="1" applyFill="1" applyBorder="1" applyAlignment="1">
      <alignment horizontal="right" vertical="center"/>
    </xf>
    <xf numFmtId="0" fontId="5" fillId="4" borderId="2" xfId="0" applyFont="1" applyFill="1" applyBorder="1" applyAlignment="1">
      <alignment horizontal="center" vertical="center"/>
    </xf>
    <xf numFmtId="0" fontId="10" fillId="2" borderId="2" xfId="0" applyFont="1" applyFill="1" applyBorder="1" applyAlignment="1">
      <alignment horizontal="center" vertical="center"/>
    </xf>
    <xf numFmtId="0" fontId="11" fillId="9" borderId="3" xfId="0" applyFont="1" applyFill="1" applyBorder="1" applyAlignment="1">
      <alignment horizontal="center" vertical="center"/>
    </xf>
    <xf numFmtId="166" fontId="12" fillId="9" borderId="3" xfId="0" applyNumberFormat="1" applyFont="1" applyFill="1" applyBorder="1" applyAlignment="1">
      <alignment horizontal="center" vertical="center"/>
    </xf>
    <xf numFmtId="4" fontId="12" fillId="9" borderId="3" xfId="0" applyNumberFormat="1" applyFont="1" applyFill="1" applyBorder="1" applyAlignment="1">
      <alignment horizontal="right" vertical="center"/>
    </xf>
    <xf numFmtId="4" fontId="13" fillId="9" borderId="3" xfId="0" applyNumberFormat="1" applyFont="1" applyFill="1" applyBorder="1" applyAlignment="1">
      <alignment horizontal="right" vertical="center"/>
    </xf>
    <xf numFmtId="4" fontId="14" fillId="9" borderId="3" xfId="0" applyNumberFormat="1" applyFont="1" applyFill="1" applyBorder="1" applyAlignment="1">
      <alignment horizontal="right" vertical="center"/>
    </xf>
    <xf numFmtId="4" fontId="17" fillId="9" borderId="3" xfId="0" applyNumberFormat="1" applyFont="1" applyFill="1" applyBorder="1" applyAlignment="1">
      <alignment horizontal="right" vertical="center"/>
    </xf>
    <xf numFmtId="0" fontId="11" fillId="11" borderId="3" xfId="0" applyFont="1" applyFill="1" applyBorder="1" applyAlignment="1">
      <alignment horizontal="center" vertical="center"/>
    </xf>
    <xf numFmtId="166" fontId="12" fillId="11" borderId="3" xfId="0" applyNumberFormat="1" applyFont="1" applyFill="1" applyBorder="1" applyAlignment="1">
      <alignment horizontal="center" vertical="center"/>
    </xf>
    <xf numFmtId="4" fontId="12" fillId="11" borderId="3" xfId="0" applyNumberFormat="1" applyFont="1" applyFill="1" applyBorder="1" applyAlignment="1">
      <alignment horizontal="right" vertical="center"/>
    </xf>
    <xf numFmtId="4" fontId="13" fillId="11" borderId="3" xfId="0" applyNumberFormat="1" applyFont="1" applyFill="1" applyBorder="1" applyAlignment="1">
      <alignment horizontal="right" vertical="center"/>
    </xf>
    <xf numFmtId="4" fontId="14" fillId="11" borderId="3" xfId="0" applyNumberFormat="1" applyFont="1" applyFill="1" applyBorder="1" applyAlignment="1">
      <alignment horizontal="right" vertical="center"/>
    </xf>
    <xf numFmtId="4" fontId="17" fillId="11" borderId="3" xfId="0" applyNumberFormat="1" applyFont="1" applyFill="1" applyBorder="1" applyAlignment="1">
      <alignment horizontal="right" vertical="center"/>
    </xf>
    <xf numFmtId="4" fontId="5" fillId="2" borderId="2" xfId="0" applyNumberFormat="1" applyFont="1" applyFill="1" applyBorder="1" applyAlignment="1">
      <alignment horizontal="right" vertical="center"/>
    </xf>
    <xf numFmtId="4" fontId="18" fillId="2" borderId="2" xfId="0" applyNumberFormat="1" applyFont="1" applyFill="1" applyBorder="1" applyAlignment="1">
      <alignment horizontal="right" vertical="center"/>
    </xf>
    <xf numFmtId="0" fontId="0" fillId="2" borderId="2" xfId="0" applyFill="1" applyBorder="1"/>
    <xf numFmtId="4" fontId="16" fillId="10" borderId="3" xfId="0" applyNumberFormat="1" applyFont="1" applyFill="1" applyBorder="1" applyAlignment="1" applyProtection="1">
      <alignment horizontal="right" vertical="center"/>
      <protection locked="0"/>
    </xf>
    <xf numFmtId="164" fontId="7" fillId="7" borderId="9" xfId="0" applyNumberFormat="1" applyFont="1" applyFill="1" applyBorder="1" applyAlignment="1" applyProtection="1">
      <alignment horizontal="right" vertical="center"/>
      <protection locked="0"/>
    </xf>
    <xf numFmtId="10" fontId="7" fillId="7" borderId="10" xfId="0" applyNumberFormat="1" applyFont="1" applyFill="1" applyBorder="1" applyAlignment="1" applyProtection="1">
      <alignment horizontal="right" vertical="center"/>
      <protection locked="0"/>
    </xf>
    <xf numFmtId="164" fontId="7" fillId="7" borderId="10" xfId="0" applyNumberFormat="1" applyFont="1" applyFill="1" applyBorder="1" applyAlignment="1" applyProtection="1">
      <alignment horizontal="right" vertical="center"/>
      <protection locked="0"/>
    </xf>
    <xf numFmtId="166" fontId="7" fillId="7" borderId="11" xfId="0" applyNumberFormat="1" applyFont="1" applyFill="1" applyBorder="1" applyAlignment="1" applyProtection="1">
      <alignment horizontal="right" vertical="center"/>
      <protection locked="0"/>
    </xf>
    <xf numFmtId="4" fontId="15" fillId="9" borderId="3" xfId="0" applyNumberFormat="1" applyFont="1" applyFill="1" applyBorder="1" applyAlignment="1">
      <alignment horizontal="right" vertical="center"/>
    </xf>
    <xf numFmtId="4" fontId="15" fillId="11" borderId="3" xfId="0" applyNumberFormat="1" applyFont="1" applyFill="1" applyBorder="1" applyAlignment="1">
      <alignment horizontal="right" vertical="center"/>
    </xf>
    <xf numFmtId="0" fontId="6" fillId="6" borderId="1" xfId="0" applyFont="1" applyFill="1" applyBorder="1" applyAlignment="1">
      <alignment horizontal="center" vertical="center"/>
    </xf>
    <xf numFmtId="0" fontId="6" fillId="6" borderId="6" xfId="0" applyFont="1" applyFill="1" applyBorder="1" applyAlignment="1">
      <alignment horizontal="center" vertical="center"/>
    </xf>
    <xf numFmtId="0" fontId="5" fillId="2" borderId="4" xfId="0" applyFont="1" applyFill="1" applyBorder="1" applyAlignment="1">
      <alignment horizontal="center" vertical="center"/>
    </xf>
    <xf numFmtId="0" fontId="1" fillId="0" borderId="5" xfId="0" applyFont="1" applyBorder="1" applyAlignment="1">
      <alignment horizontal="center"/>
    </xf>
    <xf numFmtId="0" fontId="1" fillId="0" borderId="0" xfId="0" applyFont="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3" fillId="2" borderId="0" xfId="0" applyFont="1" applyFill="1" applyAlignment="1">
      <alignment horizontal="center" vertical="center"/>
    </xf>
    <xf numFmtId="0" fontId="4" fillId="3" borderId="0" xfId="0" applyFont="1" applyFill="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5" fillId="5" borderId="0" xfId="0" applyFont="1" applyFill="1" applyAlignment="1">
      <alignment horizontal="center" vertical="center"/>
    </xf>
    <xf numFmtId="0" fontId="5" fillId="2" borderId="8" xfId="0" applyFont="1" applyFill="1" applyBorder="1" applyAlignment="1">
      <alignment horizontal="center" vertical="center"/>
    </xf>
    <xf numFmtId="0" fontId="5" fillId="4" borderId="0" xfId="0" applyFont="1" applyFill="1" applyAlignment="1">
      <alignment horizontal="center" vertical="center"/>
    </xf>
    <xf numFmtId="0" fontId="19" fillId="0" borderId="12" xfId="0" applyFont="1" applyBorder="1" applyAlignment="1">
      <alignment horizontal="center"/>
    </xf>
    <xf numFmtId="0" fontId="19" fillId="0" borderId="0" xfId="0" applyFont="1" applyAlignment="1">
      <alignment horizont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D6608"/>
      <rgbColor rgb="FF800080"/>
      <rgbColor rgb="FF008080"/>
      <rgbColor rgb="FFBDC3C7"/>
      <rgbColor rgb="FF888888"/>
      <rgbColor rgb="FF9999FF"/>
      <rgbColor rgb="FF993366"/>
      <rgbColor rgb="FFFEFBD8"/>
      <rgbColor rgb="FFD6EAF8"/>
      <rgbColor rgb="FF660066"/>
      <rgbColor rgb="FFFF8080"/>
      <rgbColor rgb="FF0066CC"/>
      <rgbColor rgb="FFCCCCFF"/>
      <rgbColor rgb="FF000080"/>
      <rgbColor rgb="FFFF00FF"/>
      <rgbColor rgb="FFFFFF00"/>
      <rgbColor rgb="FF00FFFF"/>
      <rgbColor rgb="FF800080"/>
      <rgbColor rgb="FF800000"/>
      <rgbColor rgb="FF008080"/>
      <rgbColor rgb="FF0000CC"/>
      <rgbColor rgb="FF00CCFF"/>
      <rgbColor rgb="FFF4F6F9"/>
      <rgbColor rgb="FFD5F5E3"/>
      <rgbColor rgb="FFFFF3CD"/>
      <rgbColor rgb="FF99CCFF"/>
      <rgbColor rgb="FFFF99CC"/>
      <rgbColor rgb="FFCC99FF"/>
      <rgbColor rgb="FFFAE5D3"/>
      <rgbColor rgb="FF3366FF"/>
      <rgbColor rgb="FF33CCCC"/>
      <rgbColor rgb="FF99CC00"/>
      <rgbColor rgb="FFFFCC00"/>
      <rgbColor rgb="FFFF9900"/>
      <rgbColor rgb="FFFF6600"/>
      <rgbColor rgb="FF666699"/>
      <rgbColor rgb="FF969696"/>
      <rgbColor rgb="FF1B2A4A"/>
      <rgbColor rgb="FF1E8449"/>
      <rgbColor rgb="FF003300"/>
      <rgbColor rgb="FF333300"/>
      <rgbColor rgb="FFC0392B"/>
      <rgbColor rgb="FF993366"/>
      <rgbColor rgb="FF1A5276"/>
      <rgbColor rgb="FF2C3E5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comptaclear.ch/telecharg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78"/>
  <sheetViews>
    <sheetView showGridLines="0" tabSelected="1" zoomScale="120" zoomScaleNormal="120" workbookViewId="0">
      <selection activeCell="C7" sqref="C7"/>
    </sheetView>
  </sheetViews>
  <sheetFormatPr baseColWidth="10" defaultColWidth="8.6640625" defaultRowHeight="15" x14ac:dyDescent="0.2"/>
  <cols>
    <col min="1" max="1" width="16" customWidth="1"/>
    <col min="2" max="2" width="14" customWidth="1"/>
    <col min="3" max="6" width="16" customWidth="1"/>
    <col min="7" max="7" width="18.33203125" customWidth="1"/>
    <col min="8" max="8" width="14" customWidth="1"/>
  </cols>
  <sheetData>
    <row r="1" spans="1:8" ht="15.75" customHeight="1" x14ac:dyDescent="0.2">
      <c r="A1" s="31" t="s">
        <v>0</v>
      </c>
      <c r="B1" s="32"/>
      <c r="C1" s="32"/>
      <c r="D1" s="32"/>
      <c r="E1" s="32"/>
      <c r="F1" s="32"/>
      <c r="G1" s="32"/>
      <c r="H1" s="32"/>
    </row>
    <row r="2" spans="1:8" ht="15.75" customHeight="1" x14ac:dyDescent="0.2">
      <c r="A2" s="33" t="s">
        <v>1</v>
      </c>
      <c r="B2" s="34"/>
      <c r="C2" s="34"/>
      <c r="D2" s="34"/>
      <c r="E2" s="34"/>
      <c r="F2" s="34"/>
      <c r="G2" s="34"/>
      <c r="H2" s="34"/>
    </row>
    <row r="3" spans="1:8" ht="37.5" customHeight="1" x14ac:dyDescent="0.2">
      <c r="A3" s="35" t="s">
        <v>2</v>
      </c>
      <c r="B3" s="35"/>
      <c r="C3" s="35"/>
      <c r="D3" s="35"/>
      <c r="E3" s="35"/>
      <c r="F3" s="35"/>
      <c r="G3" s="35"/>
      <c r="H3" s="35"/>
    </row>
    <row r="4" spans="1:8" ht="15.75" customHeight="1" x14ac:dyDescent="0.2">
      <c r="A4" s="36" t="s">
        <v>3</v>
      </c>
      <c r="B4" s="36"/>
      <c r="C4" s="36"/>
      <c r="D4" s="36"/>
      <c r="E4" s="36"/>
      <c r="F4" s="36"/>
      <c r="G4" s="36"/>
      <c r="H4" s="36"/>
    </row>
    <row r="6" spans="1:8" ht="24" customHeight="1" thickBot="1" x14ac:dyDescent="0.25">
      <c r="A6" s="41" t="s">
        <v>4</v>
      </c>
      <c r="B6" s="41"/>
      <c r="C6" s="41"/>
      <c r="F6" s="39" t="s">
        <v>5</v>
      </c>
      <c r="G6" s="39"/>
      <c r="H6" s="39"/>
    </row>
    <row r="7" spans="1:8" ht="21.75" customHeight="1" thickTop="1" x14ac:dyDescent="0.2">
      <c r="A7" s="28" t="s">
        <v>6</v>
      </c>
      <c r="B7" s="29"/>
      <c r="C7" s="22">
        <v>10000</v>
      </c>
      <c r="F7" s="37" t="s">
        <v>7</v>
      </c>
      <c r="G7" s="38"/>
      <c r="H7" s="1">
        <f>IFERROR(IF(C7*(C8/12)&gt;=C9,"⚠ Paiement insuffisant",COUNTIF(A16:A375,"&gt;0")),"?")</f>
        <v>22</v>
      </c>
    </row>
    <row r="8" spans="1:8" ht="21.75" customHeight="1" x14ac:dyDescent="0.2">
      <c r="A8" s="28" t="s">
        <v>8</v>
      </c>
      <c r="B8" s="29"/>
      <c r="C8" s="23">
        <v>5.8999999999999997E-2</v>
      </c>
      <c r="F8" s="37" t="s">
        <v>9</v>
      </c>
      <c r="G8" s="38"/>
      <c r="H8" s="2">
        <f>IFERROR(IF(NOT(ISNUMBER(H7)),"",EDATE(C10,H7)),"?")</f>
        <v>46813</v>
      </c>
    </row>
    <row r="9" spans="1:8" ht="21.75" customHeight="1" x14ac:dyDescent="0.2">
      <c r="A9" s="28" t="s">
        <v>10</v>
      </c>
      <c r="B9" s="29"/>
      <c r="C9" s="24">
        <v>500</v>
      </c>
      <c r="F9" s="37" t="s">
        <v>11</v>
      </c>
      <c r="G9" s="38"/>
      <c r="H9" s="3">
        <f>IFERROR(IF(C7*(C8/12)&gt;=C9,"⚠",SUMIF(A16:A375,"&gt;0",D16:D375)),"?")</f>
        <v>552.45000000000005</v>
      </c>
    </row>
    <row r="10" spans="1:8" ht="21.75" customHeight="1" thickBot="1" x14ac:dyDescent="0.25">
      <c r="A10" s="28" t="s">
        <v>12</v>
      </c>
      <c r="B10" s="29"/>
      <c r="C10" s="25">
        <v>46143</v>
      </c>
      <c r="F10" s="37" t="s">
        <v>13</v>
      </c>
      <c r="G10" s="38"/>
      <c r="H10" s="3">
        <f>IFERROR(IF(C7*(C8/12)&gt;=C9,"⚠",SUMIF(A16:A375,"&gt;0",F16:F375)+IFERROR(SUMIF(A16:A375,"&gt;0",G16:G375),0)),"?")</f>
        <v>10552.449999999999</v>
      </c>
    </row>
    <row r="11" spans="1:8" ht="15" customHeight="1" thickTop="1" x14ac:dyDescent="0.2"/>
    <row r="12" spans="1:8" ht="15.75" customHeight="1" x14ac:dyDescent="0.2">
      <c r="A12" s="36" t="s">
        <v>24</v>
      </c>
      <c r="B12" s="36"/>
      <c r="C12" s="36"/>
      <c r="D12" s="36"/>
      <c r="E12" s="36"/>
      <c r="F12" s="36"/>
      <c r="G12" s="36"/>
      <c r="H12" s="36"/>
    </row>
    <row r="14" spans="1:8" ht="25.5" customHeight="1" x14ac:dyDescent="0.2">
      <c r="A14" s="40" t="s">
        <v>14</v>
      </c>
      <c r="B14" s="40"/>
      <c r="C14" s="40"/>
      <c r="D14" s="40"/>
      <c r="E14" s="40"/>
      <c r="F14" s="40"/>
      <c r="G14" s="40"/>
      <c r="H14" s="40"/>
    </row>
    <row r="15" spans="1:8" ht="19.5" customHeight="1" x14ac:dyDescent="0.2">
      <c r="A15" s="4" t="s">
        <v>15</v>
      </c>
      <c r="B15" s="4" t="s">
        <v>16</v>
      </c>
      <c r="C15" s="4" t="s">
        <v>17</v>
      </c>
      <c r="D15" s="4" t="s">
        <v>18</v>
      </c>
      <c r="E15" s="4" t="s">
        <v>19</v>
      </c>
      <c r="F15" s="4" t="s">
        <v>20</v>
      </c>
      <c r="G15" s="5" t="s">
        <v>23</v>
      </c>
      <c r="H15" s="5" t="s">
        <v>21</v>
      </c>
    </row>
    <row r="16" spans="1:8" ht="16.5" customHeight="1" x14ac:dyDescent="0.2">
      <c r="A16" s="6">
        <f>IF($C$7&gt;0,1,"")</f>
        <v>1</v>
      </c>
      <c r="B16" s="7">
        <f>IF($C$7&gt;0,EDATE($C$10,1),"")</f>
        <v>46174</v>
      </c>
      <c r="C16" s="8">
        <f>IF($C$7&gt;0,$C$7,"")</f>
        <v>10000</v>
      </c>
      <c r="D16" s="9">
        <f>IFERROR(IF($C$7&gt;0,ROUND(C16*$C$8/12,2),""),"")</f>
        <v>49.17</v>
      </c>
      <c r="E16" s="10">
        <f>IFERROR(IF($C$7&gt;0,C16-H16,""),"")</f>
        <v>450.82999999999993</v>
      </c>
      <c r="F16" s="26">
        <f>IFERROR(IF($C$7&gt;0,MIN($C$9,C16+D16),""),"")</f>
        <v>500</v>
      </c>
      <c r="G16" s="21"/>
      <c r="H16" s="11">
        <f>IFERROR(IF($C$7&gt;0,MAX(0,C16+D16-F16-IFERROR(G16*1,0)),""),"")</f>
        <v>9549.17</v>
      </c>
    </row>
    <row r="17" spans="1:8" ht="16.5" customHeight="1" x14ac:dyDescent="0.2">
      <c r="A17" s="12">
        <f>IF(AND(ISNUMBER(H16),H16&gt;0),2,"")</f>
        <v>2</v>
      </c>
      <c r="B17" s="13">
        <f>IF(AND(ISNUMBER(H16),H16&gt;0),EDATE($C$10,2),"")</f>
        <v>46204</v>
      </c>
      <c r="C17" s="14">
        <f t="shared" ref="C17:C80" si="0">IF(AND(ISNUMBER(H16),H16&gt;0),H16,"")</f>
        <v>9549.17</v>
      </c>
      <c r="D17" s="15">
        <f t="shared" ref="D17:D80" si="1">IFERROR(IF(AND(ISNUMBER(H16),H16&gt;0),ROUND(C17*$C$8/12,2),""),"")</f>
        <v>46.95</v>
      </c>
      <c r="E17" s="16">
        <f t="shared" ref="E17:E80" si="2">IFERROR(IF(AND(ISNUMBER(H16),H16&gt;0),C17-H17,""),"")</f>
        <v>453.04999999999927</v>
      </c>
      <c r="F17" s="27">
        <f t="shared" ref="F17:F80" si="3">IFERROR(IF(AND(ISNUMBER(H16),H16&gt;0),MIN($C$9,C17+D17),""),"")</f>
        <v>500</v>
      </c>
      <c r="G17" s="21"/>
      <c r="H17" s="17">
        <f t="shared" ref="H17:H80" si="4">IFERROR(IF(AND(ISNUMBER(H16),H16&gt;0),MAX(0,C17+D17-F17-IFERROR(G17*1,0)),""),"")</f>
        <v>9096.1200000000008</v>
      </c>
    </row>
    <row r="18" spans="1:8" ht="16.5" customHeight="1" x14ac:dyDescent="0.2">
      <c r="A18" s="6">
        <f>IF(AND(ISNUMBER(H17),H17&gt;0),3,"")</f>
        <v>3</v>
      </c>
      <c r="B18" s="7">
        <f>IF(AND(ISNUMBER(H17),H17&gt;0),EDATE($C$10,3),"")</f>
        <v>46235</v>
      </c>
      <c r="C18" s="8">
        <f t="shared" si="0"/>
        <v>9096.1200000000008</v>
      </c>
      <c r="D18" s="9">
        <f t="shared" si="1"/>
        <v>44.72</v>
      </c>
      <c r="E18" s="10">
        <f t="shared" si="2"/>
        <v>455.28000000000065</v>
      </c>
      <c r="F18" s="26">
        <f t="shared" si="3"/>
        <v>500</v>
      </c>
      <c r="G18" s="21"/>
      <c r="H18" s="11">
        <f t="shared" si="4"/>
        <v>8640.84</v>
      </c>
    </row>
    <row r="19" spans="1:8" ht="16.5" customHeight="1" x14ac:dyDescent="0.2">
      <c r="A19" s="12">
        <f>IF(AND(ISNUMBER(H18),H18&gt;0),4,"")</f>
        <v>4</v>
      </c>
      <c r="B19" s="13">
        <f>IF(AND(ISNUMBER(H18),H18&gt;0),EDATE($C$10,4),"")</f>
        <v>46266</v>
      </c>
      <c r="C19" s="14">
        <f t="shared" si="0"/>
        <v>8640.84</v>
      </c>
      <c r="D19" s="15">
        <f t="shared" si="1"/>
        <v>42.48</v>
      </c>
      <c r="E19" s="16">
        <f t="shared" si="2"/>
        <v>457.52000000000044</v>
      </c>
      <c r="F19" s="27">
        <f t="shared" si="3"/>
        <v>500</v>
      </c>
      <c r="G19" s="21"/>
      <c r="H19" s="17">
        <f t="shared" si="4"/>
        <v>8183.32</v>
      </c>
    </row>
    <row r="20" spans="1:8" ht="16.5" customHeight="1" x14ac:dyDescent="0.2">
      <c r="A20" s="6">
        <f>IF(AND(ISNUMBER(H19),H19&gt;0),5,"")</f>
        <v>5</v>
      </c>
      <c r="B20" s="7">
        <f>IF(AND(ISNUMBER(H19),H19&gt;0),EDATE($C$10,5),"")</f>
        <v>46296</v>
      </c>
      <c r="C20" s="8">
        <f t="shared" si="0"/>
        <v>8183.32</v>
      </c>
      <c r="D20" s="9">
        <f t="shared" si="1"/>
        <v>40.229999999999997</v>
      </c>
      <c r="E20" s="10">
        <f t="shared" si="2"/>
        <v>459.77000000000044</v>
      </c>
      <c r="F20" s="26">
        <f t="shared" si="3"/>
        <v>500</v>
      </c>
      <c r="G20" s="21"/>
      <c r="H20" s="11">
        <f t="shared" si="4"/>
        <v>7723.5499999999993</v>
      </c>
    </row>
    <row r="21" spans="1:8" ht="16.5" customHeight="1" x14ac:dyDescent="0.2">
      <c r="A21" s="12">
        <f>IF(AND(ISNUMBER(H20),H20&gt;0),6,"")</f>
        <v>6</v>
      </c>
      <c r="B21" s="13">
        <f>IF(AND(ISNUMBER(H20),H20&gt;0),EDATE($C$10,6),"")</f>
        <v>46327</v>
      </c>
      <c r="C21" s="14">
        <f t="shared" si="0"/>
        <v>7723.5499999999993</v>
      </c>
      <c r="D21" s="15">
        <f t="shared" si="1"/>
        <v>37.97</v>
      </c>
      <c r="E21" s="16">
        <f t="shared" si="2"/>
        <v>462.02999999999975</v>
      </c>
      <c r="F21" s="27">
        <f t="shared" si="3"/>
        <v>500</v>
      </c>
      <c r="G21" s="21"/>
      <c r="H21" s="17">
        <f t="shared" si="4"/>
        <v>7261.5199999999995</v>
      </c>
    </row>
    <row r="22" spans="1:8" ht="16.5" customHeight="1" x14ac:dyDescent="0.2">
      <c r="A22" s="6">
        <f>IF(AND(ISNUMBER(H21),H21&gt;0),7,"")</f>
        <v>7</v>
      </c>
      <c r="B22" s="7">
        <f>IF(AND(ISNUMBER(H21),H21&gt;0),EDATE($C$10,7),"")</f>
        <v>46357</v>
      </c>
      <c r="C22" s="8">
        <f t="shared" si="0"/>
        <v>7261.5199999999995</v>
      </c>
      <c r="D22" s="9">
        <f t="shared" si="1"/>
        <v>35.700000000000003</v>
      </c>
      <c r="E22" s="10">
        <f t="shared" si="2"/>
        <v>464.30000000000018</v>
      </c>
      <c r="F22" s="26">
        <f t="shared" si="3"/>
        <v>500</v>
      </c>
      <c r="G22" s="21"/>
      <c r="H22" s="11">
        <f t="shared" si="4"/>
        <v>6797.2199999999993</v>
      </c>
    </row>
    <row r="23" spans="1:8" ht="16.5" customHeight="1" x14ac:dyDescent="0.2">
      <c r="A23" s="12">
        <f>IF(AND(ISNUMBER(H22),H22&gt;0),8,"")</f>
        <v>8</v>
      </c>
      <c r="B23" s="13">
        <f>IF(AND(ISNUMBER(H22),H22&gt;0),EDATE($C$10,8),"")</f>
        <v>46388</v>
      </c>
      <c r="C23" s="14">
        <f t="shared" si="0"/>
        <v>6797.2199999999993</v>
      </c>
      <c r="D23" s="15">
        <f t="shared" si="1"/>
        <v>33.42</v>
      </c>
      <c r="E23" s="16">
        <f t="shared" si="2"/>
        <v>466.57999999999993</v>
      </c>
      <c r="F23" s="27">
        <f t="shared" si="3"/>
        <v>500</v>
      </c>
      <c r="G23" s="21"/>
      <c r="H23" s="17">
        <f t="shared" si="4"/>
        <v>6330.6399999999994</v>
      </c>
    </row>
    <row r="24" spans="1:8" ht="16.5" customHeight="1" x14ac:dyDescent="0.2">
      <c r="A24" s="6">
        <f>IF(AND(ISNUMBER(H23),H23&gt;0),9,"")</f>
        <v>9</v>
      </c>
      <c r="B24" s="7">
        <f>IF(AND(ISNUMBER(H23),H23&gt;0),EDATE($C$10,9),"")</f>
        <v>46419</v>
      </c>
      <c r="C24" s="8">
        <f t="shared" si="0"/>
        <v>6330.6399999999994</v>
      </c>
      <c r="D24" s="9">
        <f t="shared" si="1"/>
        <v>31.13</v>
      </c>
      <c r="E24" s="10">
        <f t="shared" si="2"/>
        <v>468.86999999999989</v>
      </c>
      <c r="F24" s="26">
        <f t="shared" si="3"/>
        <v>500</v>
      </c>
      <c r="G24" s="21"/>
      <c r="H24" s="11">
        <f t="shared" si="4"/>
        <v>5861.7699999999995</v>
      </c>
    </row>
    <row r="25" spans="1:8" ht="16.5" customHeight="1" x14ac:dyDescent="0.2">
      <c r="A25" s="12">
        <f>IF(AND(ISNUMBER(H24),H24&gt;0),10,"")</f>
        <v>10</v>
      </c>
      <c r="B25" s="13">
        <f>IF(AND(ISNUMBER(H24),H24&gt;0),EDATE($C$10,10),"")</f>
        <v>46447</v>
      </c>
      <c r="C25" s="14">
        <f t="shared" si="0"/>
        <v>5861.7699999999995</v>
      </c>
      <c r="D25" s="15">
        <f t="shared" si="1"/>
        <v>28.82</v>
      </c>
      <c r="E25" s="16">
        <f t="shared" si="2"/>
        <v>471.18000000000029</v>
      </c>
      <c r="F25" s="27">
        <f t="shared" si="3"/>
        <v>500</v>
      </c>
      <c r="G25" s="21"/>
      <c r="H25" s="17">
        <f t="shared" si="4"/>
        <v>5390.5899999999992</v>
      </c>
    </row>
    <row r="26" spans="1:8" ht="16.5" customHeight="1" x14ac:dyDescent="0.2">
      <c r="A26" s="6">
        <f>IF(AND(ISNUMBER(H25),H25&gt;0),11,"")</f>
        <v>11</v>
      </c>
      <c r="B26" s="7">
        <f>IF(AND(ISNUMBER(H25),H25&gt;0),EDATE($C$10,11),"")</f>
        <v>46478</v>
      </c>
      <c r="C26" s="8">
        <f t="shared" si="0"/>
        <v>5390.5899999999992</v>
      </c>
      <c r="D26" s="9">
        <f t="shared" si="1"/>
        <v>26.5</v>
      </c>
      <c r="E26" s="10">
        <f t="shared" si="2"/>
        <v>473.5</v>
      </c>
      <c r="F26" s="26">
        <f t="shared" si="3"/>
        <v>500</v>
      </c>
      <c r="G26" s="21"/>
      <c r="H26" s="11">
        <f t="shared" si="4"/>
        <v>4917.0899999999992</v>
      </c>
    </row>
    <row r="27" spans="1:8" ht="16.5" customHeight="1" x14ac:dyDescent="0.2">
      <c r="A27" s="12">
        <f>IF(AND(ISNUMBER(H26),H26&gt;0),12,"")</f>
        <v>12</v>
      </c>
      <c r="B27" s="13">
        <f>IF(AND(ISNUMBER(H26),H26&gt;0),EDATE($C$10,12),"")</f>
        <v>46508</v>
      </c>
      <c r="C27" s="14">
        <f t="shared" si="0"/>
        <v>4917.0899999999992</v>
      </c>
      <c r="D27" s="15">
        <f t="shared" si="1"/>
        <v>24.18</v>
      </c>
      <c r="E27" s="16">
        <f t="shared" si="2"/>
        <v>475.81999999999971</v>
      </c>
      <c r="F27" s="27">
        <f t="shared" si="3"/>
        <v>500</v>
      </c>
      <c r="G27" s="21"/>
      <c r="H27" s="17">
        <f t="shared" si="4"/>
        <v>4441.2699999999995</v>
      </c>
    </row>
    <row r="28" spans="1:8" ht="16.5" customHeight="1" x14ac:dyDescent="0.2">
      <c r="A28" s="6">
        <f>IF(AND(ISNUMBER(H27),H27&gt;0),13,"")</f>
        <v>13</v>
      </c>
      <c r="B28" s="7">
        <f>IF(AND(ISNUMBER(H27),H27&gt;0),EDATE($C$10,13),"")</f>
        <v>46539</v>
      </c>
      <c r="C28" s="8">
        <f t="shared" si="0"/>
        <v>4441.2699999999995</v>
      </c>
      <c r="D28" s="9">
        <f t="shared" si="1"/>
        <v>21.84</v>
      </c>
      <c r="E28" s="10">
        <f t="shared" si="2"/>
        <v>478.15999999999985</v>
      </c>
      <c r="F28" s="26">
        <f t="shared" si="3"/>
        <v>500</v>
      </c>
      <c r="G28" s="21"/>
      <c r="H28" s="11">
        <f t="shared" si="4"/>
        <v>3963.1099999999997</v>
      </c>
    </row>
    <row r="29" spans="1:8" ht="16.5" customHeight="1" x14ac:dyDescent="0.2">
      <c r="A29" s="12">
        <f>IF(AND(ISNUMBER(H28),H28&gt;0),14,"")</f>
        <v>14</v>
      </c>
      <c r="B29" s="13">
        <f>IF(AND(ISNUMBER(H28),H28&gt;0),EDATE($C$10,14),"")</f>
        <v>46569</v>
      </c>
      <c r="C29" s="14">
        <f t="shared" si="0"/>
        <v>3963.1099999999997</v>
      </c>
      <c r="D29" s="15">
        <f t="shared" si="1"/>
        <v>19.489999999999998</v>
      </c>
      <c r="E29" s="16">
        <f t="shared" si="2"/>
        <v>480.51000000000022</v>
      </c>
      <c r="F29" s="27">
        <f t="shared" si="3"/>
        <v>500</v>
      </c>
      <c r="G29" s="21"/>
      <c r="H29" s="17">
        <f t="shared" si="4"/>
        <v>3482.5999999999995</v>
      </c>
    </row>
    <row r="30" spans="1:8" ht="16.5" customHeight="1" x14ac:dyDescent="0.2">
      <c r="A30" s="6">
        <f>IF(AND(ISNUMBER(H29),H29&gt;0),15,"")</f>
        <v>15</v>
      </c>
      <c r="B30" s="7">
        <f>IF(AND(ISNUMBER(H29),H29&gt;0),EDATE($C$10,15),"")</f>
        <v>46600</v>
      </c>
      <c r="C30" s="8">
        <f t="shared" si="0"/>
        <v>3482.5999999999995</v>
      </c>
      <c r="D30" s="9">
        <f t="shared" si="1"/>
        <v>17.12</v>
      </c>
      <c r="E30" s="10">
        <f t="shared" si="2"/>
        <v>482.88000000000011</v>
      </c>
      <c r="F30" s="26">
        <f t="shared" si="3"/>
        <v>500</v>
      </c>
      <c r="G30" s="21"/>
      <c r="H30" s="11">
        <f t="shared" si="4"/>
        <v>2999.7199999999993</v>
      </c>
    </row>
    <row r="31" spans="1:8" ht="16.5" customHeight="1" x14ac:dyDescent="0.2">
      <c r="A31" s="12">
        <f>IF(AND(ISNUMBER(H30),H30&gt;0),16,"")</f>
        <v>16</v>
      </c>
      <c r="B31" s="13">
        <f>IF(AND(ISNUMBER(H30),H30&gt;0),EDATE($C$10,16),"")</f>
        <v>46631</v>
      </c>
      <c r="C31" s="14">
        <f t="shared" si="0"/>
        <v>2999.7199999999993</v>
      </c>
      <c r="D31" s="15">
        <f t="shared" si="1"/>
        <v>14.75</v>
      </c>
      <c r="E31" s="16">
        <f t="shared" si="2"/>
        <v>485.25</v>
      </c>
      <c r="F31" s="27">
        <f t="shared" si="3"/>
        <v>500</v>
      </c>
      <c r="G31" s="21"/>
      <c r="H31" s="17">
        <f t="shared" si="4"/>
        <v>2514.4699999999993</v>
      </c>
    </row>
    <row r="32" spans="1:8" ht="16.5" customHeight="1" x14ac:dyDescent="0.2">
      <c r="A32" s="6">
        <f>IF(AND(ISNUMBER(H31),H31&gt;0),17,"")</f>
        <v>17</v>
      </c>
      <c r="B32" s="7">
        <f>IF(AND(ISNUMBER(H31),H31&gt;0),EDATE($C$10,17),"")</f>
        <v>46661</v>
      </c>
      <c r="C32" s="8">
        <f t="shared" si="0"/>
        <v>2514.4699999999993</v>
      </c>
      <c r="D32" s="9">
        <f t="shared" si="1"/>
        <v>12.36</v>
      </c>
      <c r="E32" s="10">
        <f t="shared" si="2"/>
        <v>487.63999999999987</v>
      </c>
      <c r="F32" s="26">
        <f t="shared" si="3"/>
        <v>500</v>
      </c>
      <c r="G32" s="21"/>
      <c r="H32" s="11">
        <f t="shared" si="4"/>
        <v>2026.8299999999995</v>
      </c>
    </row>
    <row r="33" spans="1:8" ht="16.5" customHeight="1" x14ac:dyDescent="0.2">
      <c r="A33" s="12">
        <f>IF(AND(ISNUMBER(H32),H32&gt;0),18,"")</f>
        <v>18</v>
      </c>
      <c r="B33" s="13">
        <f>IF(AND(ISNUMBER(H32),H32&gt;0),EDATE($C$10,18),"")</f>
        <v>46692</v>
      </c>
      <c r="C33" s="14">
        <f t="shared" si="0"/>
        <v>2026.8299999999995</v>
      </c>
      <c r="D33" s="15">
        <f t="shared" si="1"/>
        <v>9.9700000000000006</v>
      </c>
      <c r="E33" s="16">
        <f t="shared" si="2"/>
        <v>490.03</v>
      </c>
      <c r="F33" s="27">
        <f t="shared" si="3"/>
        <v>500</v>
      </c>
      <c r="G33" s="21"/>
      <c r="H33" s="17">
        <f t="shared" si="4"/>
        <v>1536.7999999999995</v>
      </c>
    </row>
    <row r="34" spans="1:8" ht="16.5" customHeight="1" x14ac:dyDescent="0.2">
      <c r="A34" s="6">
        <f>IF(AND(ISNUMBER(H33),H33&gt;0),19,"")</f>
        <v>19</v>
      </c>
      <c r="B34" s="7">
        <f>IF(AND(ISNUMBER(H33),H33&gt;0),EDATE($C$10,19),"")</f>
        <v>46722</v>
      </c>
      <c r="C34" s="8">
        <f t="shared" si="0"/>
        <v>1536.7999999999995</v>
      </c>
      <c r="D34" s="9">
        <f t="shared" si="1"/>
        <v>7.56</v>
      </c>
      <c r="E34" s="10">
        <f t="shared" si="2"/>
        <v>492.44000000000005</v>
      </c>
      <c r="F34" s="26">
        <f t="shared" si="3"/>
        <v>500</v>
      </c>
      <c r="G34" s="21"/>
      <c r="H34" s="11">
        <f t="shared" si="4"/>
        <v>1044.3599999999994</v>
      </c>
    </row>
    <row r="35" spans="1:8" ht="16.5" customHeight="1" x14ac:dyDescent="0.2">
      <c r="A35" s="12">
        <f>IF(AND(ISNUMBER(H34),H34&gt;0),20,"")</f>
        <v>20</v>
      </c>
      <c r="B35" s="13">
        <f>IF(AND(ISNUMBER(H34),H34&gt;0),EDATE($C$10,20),"")</f>
        <v>46753</v>
      </c>
      <c r="C35" s="14">
        <f t="shared" si="0"/>
        <v>1044.3599999999994</v>
      </c>
      <c r="D35" s="15">
        <f t="shared" si="1"/>
        <v>5.13</v>
      </c>
      <c r="E35" s="16">
        <f t="shared" si="2"/>
        <v>494.86999999999989</v>
      </c>
      <c r="F35" s="27">
        <f t="shared" si="3"/>
        <v>500</v>
      </c>
      <c r="G35" s="21"/>
      <c r="H35" s="17">
        <f t="shared" si="4"/>
        <v>549.48999999999955</v>
      </c>
    </row>
    <row r="36" spans="1:8" ht="16.5" customHeight="1" x14ac:dyDescent="0.2">
      <c r="A36" s="6">
        <f>IF(AND(ISNUMBER(H35),H35&gt;0),21,"")</f>
        <v>21</v>
      </c>
      <c r="B36" s="7">
        <f>IF(AND(ISNUMBER(H35),H35&gt;0),EDATE($C$10,21),"")</f>
        <v>46784</v>
      </c>
      <c r="C36" s="8">
        <f t="shared" si="0"/>
        <v>549.48999999999955</v>
      </c>
      <c r="D36" s="9">
        <f t="shared" si="1"/>
        <v>2.7</v>
      </c>
      <c r="E36" s="10">
        <f t="shared" si="2"/>
        <v>497.29999999999995</v>
      </c>
      <c r="F36" s="26">
        <f t="shared" si="3"/>
        <v>500</v>
      </c>
      <c r="G36" s="21"/>
      <c r="H36" s="11">
        <f t="shared" si="4"/>
        <v>52.1899999999996</v>
      </c>
    </row>
    <row r="37" spans="1:8" ht="16.5" customHeight="1" x14ac:dyDescent="0.2">
      <c r="A37" s="12">
        <f>IF(AND(ISNUMBER(H36),H36&gt;0),22,"")</f>
        <v>22</v>
      </c>
      <c r="B37" s="13">
        <f>IF(AND(ISNUMBER(H36),H36&gt;0),EDATE($C$10,22),"")</f>
        <v>46813</v>
      </c>
      <c r="C37" s="14">
        <f t="shared" si="0"/>
        <v>52.1899999999996</v>
      </c>
      <c r="D37" s="15">
        <f t="shared" si="1"/>
        <v>0.26</v>
      </c>
      <c r="E37" s="16">
        <f t="shared" si="2"/>
        <v>52.1899999999996</v>
      </c>
      <c r="F37" s="27">
        <f t="shared" si="3"/>
        <v>52.449999999999598</v>
      </c>
      <c r="G37" s="21"/>
      <c r="H37" s="17">
        <f t="shared" si="4"/>
        <v>0</v>
      </c>
    </row>
    <row r="38" spans="1:8" ht="16.5" customHeight="1" x14ac:dyDescent="0.2">
      <c r="A38" s="6" t="str">
        <f>IF(AND(ISNUMBER(H37),H37&gt;0),23,"")</f>
        <v/>
      </c>
      <c r="B38" s="7" t="str">
        <f>IF(AND(ISNUMBER(H37),H37&gt;0),EDATE($C$10,23),"")</f>
        <v/>
      </c>
      <c r="C38" s="8" t="str">
        <f t="shared" si="0"/>
        <v/>
      </c>
      <c r="D38" s="9" t="str">
        <f t="shared" si="1"/>
        <v/>
      </c>
      <c r="E38" s="10" t="str">
        <f t="shared" si="2"/>
        <v/>
      </c>
      <c r="F38" s="26" t="str">
        <f t="shared" si="3"/>
        <v/>
      </c>
      <c r="G38" s="21"/>
      <c r="H38" s="11" t="str">
        <f t="shared" si="4"/>
        <v/>
      </c>
    </row>
    <row r="39" spans="1:8" ht="16.5" customHeight="1" x14ac:dyDescent="0.2">
      <c r="A39" s="12" t="str">
        <f>IF(AND(ISNUMBER(H38),H38&gt;0),24,"")</f>
        <v/>
      </c>
      <c r="B39" s="13" t="str">
        <f>IF(AND(ISNUMBER(H38),H38&gt;0),EDATE($C$10,24),"")</f>
        <v/>
      </c>
      <c r="C39" s="14" t="str">
        <f t="shared" si="0"/>
        <v/>
      </c>
      <c r="D39" s="15" t="str">
        <f t="shared" si="1"/>
        <v/>
      </c>
      <c r="E39" s="16" t="str">
        <f t="shared" si="2"/>
        <v/>
      </c>
      <c r="F39" s="27" t="str">
        <f t="shared" si="3"/>
        <v/>
      </c>
      <c r="G39" s="21"/>
      <c r="H39" s="17" t="str">
        <f t="shared" si="4"/>
        <v/>
      </c>
    </row>
    <row r="40" spans="1:8" ht="16.5" customHeight="1" x14ac:dyDescent="0.2">
      <c r="A40" s="6" t="str">
        <f>IF(AND(ISNUMBER(H39),H39&gt;0),25,"")</f>
        <v/>
      </c>
      <c r="B40" s="7" t="str">
        <f>IF(AND(ISNUMBER(H39),H39&gt;0),EDATE($C$10,25),"")</f>
        <v/>
      </c>
      <c r="C40" s="8" t="str">
        <f t="shared" si="0"/>
        <v/>
      </c>
      <c r="D40" s="9" t="str">
        <f t="shared" si="1"/>
        <v/>
      </c>
      <c r="E40" s="10" t="str">
        <f t="shared" si="2"/>
        <v/>
      </c>
      <c r="F40" s="26" t="str">
        <f t="shared" si="3"/>
        <v/>
      </c>
      <c r="G40" s="21"/>
      <c r="H40" s="11" t="str">
        <f t="shared" si="4"/>
        <v/>
      </c>
    </row>
    <row r="41" spans="1:8" ht="16.5" customHeight="1" x14ac:dyDescent="0.2">
      <c r="A41" s="12" t="str">
        <f>IF(AND(ISNUMBER(H40),H40&gt;0),26,"")</f>
        <v/>
      </c>
      <c r="B41" s="13" t="str">
        <f>IF(AND(ISNUMBER(H40),H40&gt;0),EDATE($C$10,26),"")</f>
        <v/>
      </c>
      <c r="C41" s="14" t="str">
        <f t="shared" si="0"/>
        <v/>
      </c>
      <c r="D41" s="15" t="str">
        <f t="shared" si="1"/>
        <v/>
      </c>
      <c r="E41" s="16" t="str">
        <f t="shared" si="2"/>
        <v/>
      </c>
      <c r="F41" s="27" t="str">
        <f t="shared" si="3"/>
        <v/>
      </c>
      <c r="G41" s="21"/>
      <c r="H41" s="17" t="str">
        <f t="shared" si="4"/>
        <v/>
      </c>
    </row>
    <row r="42" spans="1:8" ht="16.5" customHeight="1" x14ac:dyDescent="0.2">
      <c r="A42" s="6" t="str">
        <f>IF(AND(ISNUMBER(H41),H41&gt;0),27,"")</f>
        <v/>
      </c>
      <c r="B42" s="7" t="str">
        <f>IF(AND(ISNUMBER(H41),H41&gt;0),EDATE($C$10,27),"")</f>
        <v/>
      </c>
      <c r="C42" s="8" t="str">
        <f t="shared" si="0"/>
        <v/>
      </c>
      <c r="D42" s="9" t="str">
        <f t="shared" si="1"/>
        <v/>
      </c>
      <c r="E42" s="10" t="str">
        <f t="shared" si="2"/>
        <v/>
      </c>
      <c r="F42" s="26" t="str">
        <f t="shared" si="3"/>
        <v/>
      </c>
      <c r="G42" s="21"/>
      <c r="H42" s="11" t="str">
        <f t="shared" si="4"/>
        <v/>
      </c>
    </row>
    <row r="43" spans="1:8" ht="16.5" customHeight="1" x14ac:dyDescent="0.2">
      <c r="A43" s="12" t="str">
        <f>IF(AND(ISNUMBER(H42),H42&gt;0),28,"")</f>
        <v/>
      </c>
      <c r="B43" s="13" t="str">
        <f>IF(AND(ISNUMBER(H42),H42&gt;0),EDATE($C$10,28),"")</f>
        <v/>
      </c>
      <c r="C43" s="14" t="str">
        <f t="shared" si="0"/>
        <v/>
      </c>
      <c r="D43" s="15" t="str">
        <f t="shared" si="1"/>
        <v/>
      </c>
      <c r="E43" s="16" t="str">
        <f t="shared" si="2"/>
        <v/>
      </c>
      <c r="F43" s="27" t="str">
        <f t="shared" si="3"/>
        <v/>
      </c>
      <c r="G43" s="21"/>
      <c r="H43" s="17" t="str">
        <f t="shared" si="4"/>
        <v/>
      </c>
    </row>
    <row r="44" spans="1:8" ht="16.5" customHeight="1" x14ac:dyDescent="0.2">
      <c r="A44" s="6" t="str">
        <f>IF(AND(ISNUMBER(H43),H43&gt;0),29,"")</f>
        <v/>
      </c>
      <c r="B44" s="7" t="str">
        <f>IF(AND(ISNUMBER(H43),H43&gt;0),EDATE($C$10,29),"")</f>
        <v/>
      </c>
      <c r="C44" s="8" t="str">
        <f t="shared" si="0"/>
        <v/>
      </c>
      <c r="D44" s="9" t="str">
        <f t="shared" si="1"/>
        <v/>
      </c>
      <c r="E44" s="10" t="str">
        <f t="shared" si="2"/>
        <v/>
      </c>
      <c r="F44" s="26" t="str">
        <f t="shared" si="3"/>
        <v/>
      </c>
      <c r="G44" s="21"/>
      <c r="H44" s="11" t="str">
        <f t="shared" si="4"/>
        <v/>
      </c>
    </row>
    <row r="45" spans="1:8" ht="16.5" customHeight="1" x14ac:dyDescent="0.2">
      <c r="A45" s="12" t="str">
        <f>IF(AND(ISNUMBER(H44),H44&gt;0),30,"")</f>
        <v/>
      </c>
      <c r="B45" s="13" t="str">
        <f>IF(AND(ISNUMBER(H44),H44&gt;0),EDATE($C$10,30),"")</f>
        <v/>
      </c>
      <c r="C45" s="14" t="str">
        <f t="shared" si="0"/>
        <v/>
      </c>
      <c r="D45" s="15" t="str">
        <f t="shared" si="1"/>
        <v/>
      </c>
      <c r="E45" s="16" t="str">
        <f t="shared" si="2"/>
        <v/>
      </c>
      <c r="F45" s="27" t="str">
        <f t="shared" si="3"/>
        <v/>
      </c>
      <c r="G45" s="21"/>
      <c r="H45" s="17" t="str">
        <f t="shared" si="4"/>
        <v/>
      </c>
    </row>
    <row r="46" spans="1:8" ht="16.5" customHeight="1" x14ac:dyDescent="0.2">
      <c r="A46" s="6" t="str">
        <f>IF(AND(ISNUMBER(H45),H45&gt;0),31,"")</f>
        <v/>
      </c>
      <c r="B46" s="7" t="str">
        <f>IF(AND(ISNUMBER(H45),H45&gt;0),EDATE($C$10,31),"")</f>
        <v/>
      </c>
      <c r="C46" s="8" t="str">
        <f t="shared" si="0"/>
        <v/>
      </c>
      <c r="D46" s="9" t="str">
        <f t="shared" si="1"/>
        <v/>
      </c>
      <c r="E46" s="10" t="str">
        <f t="shared" si="2"/>
        <v/>
      </c>
      <c r="F46" s="26" t="str">
        <f t="shared" si="3"/>
        <v/>
      </c>
      <c r="G46" s="21"/>
      <c r="H46" s="11" t="str">
        <f t="shared" si="4"/>
        <v/>
      </c>
    </row>
    <row r="47" spans="1:8" ht="16.5" customHeight="1" x14ac:dyDescent="0.2">
      <c r="A47" s="12" t="str">
        <f>IF(AND(ISNUMBER(H46),H46&gt;0),32,"")</f>
        <v/>
      </c>
      <c r="B47" s="13" t="str">
        <f>IF(AND(ISNUMBER(H46),H46&gt;0),EDATE($C$10,32),"")</f>
        <v/>
      </c>
      <c r="C47" s="14" t="str">
        <f t="shared" si="0"/>
        <v/>
      </c>
      <c r="D47" s="15" t="str">
        <f t="shared" si="1"/>
        <v/>
      </c>
      <c r="E47" s="16" t="str">
        <f t="shared" si="2"/>
        <v/>
      </c>
      <c r="F47" s="27" t="str">
        <f t="shared" si="3"/>
        <v/>
      </c>
      <c r="G47" s="21"/>
      <c r="H47" s="17" t="str">
        <f t="shared" si="4"/>
        <v/>
      </c>
    </row>
    <row r="48" spans="1:8" ht="16.5" customHeight="1" x14ac:dyDescent="0.2">
      <c r="A48" s="6" t="str">
        <f>IF(AND(ISNUMBER(H47),H47&gt;0),33,"")</f>
        <v/>
      </c>
      <c r="B48" s="7" t="str">
        <f>IF(AND(ISNUMBER(H47),H47&gt;0),EDATE($C$10,33),"")</f>
        <v/>
      </c>
      <c r="C48" s="8" t="str">
        <f t="shared" si="0"/>
        <v/>
      </c>
      <c r="D48" s="9" t="str">
        <f t="shared" si="1"/>
        <v/>
      </c>
      <c r="E48" s="10" t="str">
        <f t="shared" si="2"/>
        <v/>
      </c>
      <c r="F48" s="26" t="str">
        <f t="shared" si="3"/>
        <v/>
      </c>
      <c r="G48" s="21"/>
      <c r="H48" s="11" t="str">
        <f t="shared" si="4"/>
        <v/>
      </c>
    </row>
    <row r="49" spans="1:8" ht="16.5" customHeight="1" x14ac:dyDescent="0.2">
      <c r="A49" s="12" t="str">
        <f>IF(AND(ISNUMBER(H48),H48&gt;0),34,"")</f>
        <v/>
      </c>
      <c r="B49" s="13" t="str">
        <f>IF(AND(ISNUMBER(H48),H48&gt;0),EDATE($C$10,34),"")</f>
        <v/>
      </c>
      <c r="C49" s="14" t="str">
        <f t="shared" si="0"/>
        <v/>
      </c>
      <c r="D49" s="15" t="str">
        <f t="shared" si="1"/>
        <v/>
      </c>
      <c r="E49" s="16" t="str">
        <f t="shared" si="2"/>
        <v/>
      </c>
      <c r="F49" s="27" t="str">
        <f t="shared" si="3"/>
        <v/>
      </c>
      <c r="G49" s="21"/>
      <c r="H49" s="17" t="str">
        <f t="shared" si="4"/>
        <v/>
      </c>
    </row>
    <row r="50" spans="1:8" ht="16.5" customHeight="1" x14ac:dyDescent="0.2">
      <c r="A50" s="6" t="str">
        <f>IF(AND(ISNUMBER(H49),H49&gt;0),35,"")</f>
        <v/>
      </c>
      <c r="B50" s="7" t="str">
        <f>IF(AND(ISNUMBER(H49),H49&gt;0),EDATE($C$10,35),"")</f>
        <v/>
      </c>
      <c r="C50" s="8" t="str">
        <f t="shared" si="0"/>
        <v/>
      </c>
      <c r="D50" s="9" t="str">
        <f t="shared" si="1"/>
        <v/>
      </c>
      <c r="E50" s="10" t="str">
        <f t="shared" si="2"/>
        <v/>
      </c>
      <c r="F50" s="26" t="str">
        <f t="shared" si="3"/>
        <v/>
      </c>
      <c r="G50" s="21"/>
      <c r="H50" s="11" t="str">
        <f t="shared" si="4"/>
        <v/>
      </c>
    </row>
    <row r="51" spans="1:8" ht="16.5" customHeight="1" x14ac:dyDescent="0.2">
      <c r="A51" s="12" t="str">
        <f>IF(AND(ISNUMBER(H50),H50&gt;0),36,"")</f>
        <v/>
      </c>
      <c r="B51" s="13" t="str">
        <f>IF(AND(ISNUMBER(H50),H50&gt;0),EDATE($C$10,36),"")</f>
        <v/>
      </c>
      <c r="C51" s="14" t="str">
        <f t="shared" si="0"/>
        <v/>
      </c>
      <c r="D51" s="15" t="str">
        <f t="shared" si="1"/>
        <v/>
      </c>
      <c r="E51" s="16" t="str">
        <f t="shared" si="2"/>
        <v/>
      </c>
      <c r="F51" s="27" t="str">
        <f t="shared" si="3"/>
        <v/>
      </c>
      <c r="G51" s="21"/>
      <c r="H51" s="17" t="str">
        <f t="shared" si="4"/>
        <v/>
      </c>
    </row>
    <row r="52" spans="1:8" ht="16.5" customHeight="1" x14ac:dyDescent="0.2">
      <c r="A52" s="6" t="str">
        <f>IF(AND(ISNUMBER(H51),H51&gt;0),37,"")</f>
        <v/>
      </c>
      <c r="B52" s="7" t="str">
        <f>IF(AND(ISNUMBER(H51),H51&gt;0),EDATE($C$10,37),"")</f>
        <v/>
      </c>
      <c r="C52" s="8" t="str">
        <f t="shared" si="0"/>
        <v/>
      </c>
      <c r="D52" s="9" t="str">
        <f t="shared" si="1"/>
        <v/>
      </c>
      <c r="E52" s="10" t="str">
        <f t="shared" si="2"/>
        <v/>
      </c>
      <c r="F52" s="26" t="str">
        <f t="shared" si="3"/>
        <v/>
      </c>
      <c r="G52" s="21"/>
      <c r="H52" s="11" t="str">
        <f t="shared" si="4"/>
        <v/>
      </c>
    </row>
    <row r="53" spans="1:8" ht="16.5" customHeight="1" x14ac:dyDescent="0.2">
      <c r="A53" s="12" t="str">
        <f>IF(AND(ISNUMBER(H52),H52&gt;0),38,"")</f>
        <v/>
      </c>
      <c r="B53" s="13" t="str">
        <f>IF(AND(ISNUMBER(H52),H52&gt;0),EDATE($C$10,38),"")</f>
        <v/>
      </c>
      <c r="C53" s="14" t="str">
        <f t="shared" si="0"/>
        <v/>
      </c>
      <c r="D53" s="15" t="str">
        <f t="shared" si="1"/>
        <v/>
      </c>
      <c r="E53" s="16" t="str">
        <f t="shared" si="2"/>
        <v/>
      </c>
      <c r="F53" s="27" t="str">
        <f t="shared" si="3"/>
        <v/>
      </c>
      <c r="G53" s="21"/>
      <c r="H53" s="17" t="str">
        <f t="shared" si="4"/>
        <v/>
      </c>
    </row>
    <row r="54" spans="1:8" ht="16.5" customHeight="1" x14ac:dyDescent="0.2">
      <c r="A54" s="6" t="str">
        <f>IF(AND(ISNUMBER(H53),H53&gt;0),39,"")</f>
        <v/>
      </c>
      <c r="B54" s="7" t="str">
        <f>IF(AND(ISNUMBER(H53),H53&gt;0),EDATE($C$10,39),"")</f>
        <v/>
      </c>
      <c r="C54" s="8" t="str">
        <f t="shared" si="0"/>
        <v/>
      </c>
      <c r="D54" s="9" t="str">
        <f t="shared" si="1"/>
        <v/>
      </c>
      <c r="E54" s="10" t="str">
        <f t="shared" si="2"/>
        <v/>
      </c>
      <c r="F54" s="26" t="str">
        <f t="shared" si="3"/>
        <v/>
      </c>
      <c r="G54" s="21"/>
      <c r="H54" s="11" t="str">
        <f t="shared" si="4"/>
        <v/>
      </c>
    </row>
    <row r="55" spans="1:8" ht="16.5" customHeight="1" x14ac:dyDescent="0.2">
      <c r="A55" s="12" t="str">
        <f>IF(AND(ISNUMBER(H54),H54&gt;0),40,"")</f>
        <v/>
      </c>
      <c r="B55" s="13" t="str">
        <f>IF(AND(ISNUMBER(H54),H54&gt;0),EDATE($C$10,40),"")</f>
        <v/>
      </c>
      <c r="C55" s="14" t="str">
        <f t="shared" si="0"/>
        <v/>
      </c>
      <c r="D55" s="15" t="str">
        <f t="shared" si="1"/>
        <v/>
      </c>
      <c r="E55" s="16" t="str">
        <f t="shared" si="2"/>
        <v/>
      </c>
      <c r="F55" s="27" t="str">
        <f t="shared" si="3"/>
        <v/>
      </c>
      <c r="G55" s="21"/>
      <c r="H55" s="17" t="str">
        <f t="shared" si="4"/>
        <v/>
      </c>
    </row>
    <row r="56" spans="1:8" ht="16.5" customHeight="1" x14ac:dyDescent="0.2">
      <c r="A56" s="6" t="str">
        <f>IF(AND(ISNUMBER(H55),H55&gt;0),41,"")</f>
        <v/>
      </c>
      <c r="B56" s="7" t="str">
        <f>IF(AND(ISNUMBER(H55),H55&gt;0),EDATE($C$10,41),"")</f>
        <v/>
      </c>
      <c r="C56" s="8" t="str">
        <f t="shared" si="0"/>
        <v/>
      </c>
      <c r="D56" s="9" t="str">
        <f t="shared" si="1"/>
        <v/>
      </c>
      <c r="E56" s="10" t="str">
        <f t="shared" si="2"/>
        <v/>
      </c>
      <c r="F56" s="26" t="str">
        <f t="shared" si="3"/>
        <v/>
      </c>
      <c r="G56" s="21"/>
      <c r="H56" s="11" t="str">
        <f t="shared" si="4"/>
        <v/>
      </c>
    </row>
    <row r="57" spans="1:8" ht="16.5" customHeight="1" x14ac:dyDescent="0.2">
      <c r="A57" s="12" t="str">
        <f>IF(AND(ISNUMBER(H56),H56&gt;0),42,"")</f>
        <v/>
      </c>
      <c r="B57" s="13" t="str">
        <f>IF(AND(ISNUMBER(H56),H56&gt;0),EDATE($C$10,42),"")</f>
        <v/>
      </c>
      <c r="C57" s="14" t="str">
        <f t="shared" si="0"/>
        <v/>
      </c>
      <c r="D57" s="15" t="str">
        <f t="shared" si="1"/>
        <v/>
      </c>
      <c r="E57" s="16" t="str">
        <f t="shared" si="2"/>
        <v/>
      </c>
      <c r="F57" s="27" t="str">
        <f t="shared" si="3"/>
        <v/>
      </c>
      <c r="G57" s="21"/>
      <c r="H57" s="17" t="str">
        <f t="shared" si="4"/>
        <v/>
      </c>
    </row>
    <row r="58" spans="1:8" ht="16.5" customHeight="1" x14ac:dyDescent="0.2">
      <c r="A58" s="6" t="str">
        <f>IF(AND(ISNUMBER(H57),H57&gt;0),43,"")</f>
        <v/>
      </c>
      <c r="B58" s="7" t="str">
        <f>IF(AND(ISNUMBER(H57),H57&gt;0),EDATE($C$10,43),"")</f>
        <v/>
      </c>
      <c r="C58" s="8" t="str">
        <f t="shared" si="0"/>
        <v/>
      </c>
      <c r="D58" s="9" t="str">
        <f t="shared" si="1"/>
        <v/>
      </c>
      <c r="E58" s="10" t="str">
        <f t="shared" si="2"/>
        <v/>
      </c>
      <c r="F58" s="26" t="str">
        <f t="shared" si="3"/>
        <v/>
      </c>
      <c r="G58" s="21"/>
      <c r="H58" s="11" t="str">
        <f t="shared" si="4"/>
        <v/>
      </c>
    </row>
    <row r="59" spans="1:8" ht="16.5" customHeight="1" x14ac:dyDescent="0.2">
      <c r="A59" s="12" t="str">
        <f>IF(AND(ISNUMBER(H58),H58&gt;0),44,"")</f>
        <v/>
      </c>
      <c r="B59" s="13" t="str">
        <f>IF(AND(ISNUMBER(H58),H58&gt;0),EDATE($C$10,44),"")</f>
        <v/>
      </c>
      <c r="C59" s="14" t="str">
        <f t="shared" si="0"/>
        <v/>
      </c>
      <c r="D59" s="15" t="str">
        <f t="shared" si="1"/>
        <v/>
      </c>
      <c r="E59" s="16" t="str">
        <f t="shared" si="2"/>
        <v/>
      </c>
      <c r="F59" s="27" t="str">
        <f t="shared" si="3"/>
        <v/>
      </c>
      <c r="G59" s="21"/>
      <c r="H59" s="17" t="str">
        <f t="shared" si="4"/>
        <v/>
      </c>
    </row>
    <row r="60" spans="1:8" ht="16.5" customHeight="1" x14ac:dyDescent="0.2">
      <c r="A60" s="6" t="str">
        <f>IF(AND(ISNUMBER(H59),H59&gt;0),45,"")</f>
        <v/>
      </c>
      <c r="B60" s="7" t="str">
        <f>IF(AND(ISNUMBER(H59),H59&gt;0),EDATE($C$10,45),"")</f>
        <v/>
      </c>
      <c r="C60" s="8" t="str">
        <f t="shared" si="0"/>
        <v/>
      </c>
      <c r="D60" s="9" t="str">
        <f t="shared" si="1"/>
        <v/>
      </c>
      <c r="E60" s="10" t="str">
        <f t="shared" si="2"/>
        <v/>
      </c>
      <c r="F60" s="26" t="str">
        <f t="shared" si="3"/>
        <v/>
      </c>
      <c r="G60" s="21"/>
      <c r="H60" s="11" t="str">
        <f t="shared" si="4"/>
        <v/>
      </c>
    </row>
    <row r="61" spans="1:8" ht="16.5" customHeight="1" x14ac:dyDescent="0.2">
      <c r="A61" s="12" t="str">
        <f>IF(AND(ISNUMBER(H60),H60&gt;0),46,"")</f>
        <v/>
      </c>
      <c r="B61" s="13" t="str">
        <f>IF(AND(ISNUMBER(H60),H60&gt;0),EDATE($C$10,46),"")</f>
        <v/>
      </c>
      <c r="C61" s="14" t="str">
        <f t="shared" si="0"/>
        <v/>
      </c>
      <c r="D61" s="15" t="str">
        <f t="shared" si="1"/>
        <v/>
      </c>
      <c r="E61" s="16" t="str">
        <f t="shared" si="2"/>
        <v/>
      </c>
      <c r="F61" s="27" t="str">
        <f t="shared" si="3"/>
        <v/>
      </c>
      <c r="G61" s="21"/>
      <c r="H61" s="17" t="str">
        <f t="shared" si="4"/>
        <v/>
      </c>
    </row>
    <row r="62" spans="1:8" ht="16.5" customHeight="1" x14ac:dyDescent="0.2">
      <c r="A62" s="6" t="str">
        <f>IF(AND(ISNUMBER(H61),H61&gt;0),47,"")</f>
        <v/>
      </c>
      <c r="B62" s="7" t="str">
        <f>IF(AND(ISNUMBER(H61),H61&gt;0),EDATE($C$10,47),"")</f>
        <v/>
      </c>
      <c r="C62" s="8" t="str">
        <f t="shared" si="0"/>
        <v/>
      </c>
      <c r="D62" s="9" t="str">
        <f t="shared" si="1"/>
        <v/>
      </c>
      <c r="E62" s="10" t="str">
        <f t="shared" si="2"/>
        <v/>
      </c>
      <c r="F62" s="26" t="str">
        <f t="shared" si="3"/>
        <v/>
      </c>
      <c r="G62" s="21"/>
      <c r="H62" s="11" t="str">
        <f t="shared" si="4"/>
        <v/>
      </c>
    </row>
    <row r="63" spans="1:8" ht="16.5" customHeight="1" x14ac:dyDescent="0.2">
      <c r="A63" s="12" t="str">
        <f>IF(AND(ISNUMBER(H62),H62&gt;0),48,"")</f>
        <v/>
      </c>
      <c r="B63" s="13" t="str">
        <f>IF(AND(ISNUMBER(H62),H62&gt;0),EDATE($C$10,48),"")</f>
        <v/>
      </c>
      <c r="C63" s="14" t="str">
        <f t="shared" si="0"/>
        <v/>
      </c>
      <c r="D63" s="15" t="str">
        <f t="shared" si="1"/>
        <v/>
      </c>
      <c r="E63" s="16" t="str">
        <f t="shared" si="2"/>
        <v/>
      </c>
      <c r="F63" s="27" t="str">
        <f t="shared" si="3"/>
        <v/>
      </c>
      <c r="G63" s="21"/>
      <c r="H63" s="17" t="str">
        <f t="shared" si="4"/>
        <v/>
      </c>
    </row>
    <row r="64" spans="1:8" ht="16.5" customHeight="1" x14ac:dyDescent="0.2">
      <c r="A64" s="6" t="str">
        <f>IF(AND(ISNUMBER(H63),H63&gt;0),49,"")</f>
        <v/>
      </c>
      <c r="B64" s="7" t="str">
        <f>IF(AND(ISNUMBER(H63),H63&gt;0),EDATE($C$10,49),"")</f>
        <v/>
      </c>
      <c r="C64" s="8" t="str">
        <f t="shared" si="0"/>
        <v/>
      </c>
      <c r="D64" s="9" t="str">
        <f t="shared" si="1"/>
        <v/>
      </c>
      <c r="E64" s="10" t="str">
        <f t="shared" si="2"/>
        <v/>
      </c>
      <c r="F64" s="26" t="str">
        <f t="shared" si="3"/>
        <v/>
      </c>
      <c r="G64" s="21"/>
      <c r="H64" s="11" t="str">
        <f t="shared" si="4"/>
        <v/>
      </c>
    </row>
    <row r="65" spans="1:8" ht="16.5" customHeight="1" x14ac:dyDescent="0.2">
      <c r="A65" s="12" t="str">
        <f>IF(AND(ISNUMBER(H64),H64&gt;0),50,"")</f>
        <v/>
      </c>
      <c r="B65" s="13" t="str">
        <f>IF(AND(ISNUMBER(H64),H64&gt;0),EDATE($C$10,50),"")</f>
        <v/>
      </c>
      <c r="C65" s="14" t="str">
        <f t="shared" si="0"/>
        <v/>
      </c>
      <c r="D65" s="15" t="str">
        <f t="shared" si="1"/>
        <v/>
      </c>
      <c r="E65" s="16" t="str">
        <f t="shared" si="2"/>
        <v/>
      </c>
      <c r="F65" s="27" t="str">
        <f t="shared" si="3"/>
        <v/>
      </c>
      <c r="G65" s="21"/>
      <c r="H65" s="17" t="str">
        <f t="shared" si="4"/>
        <v/>
      </c>
    </row>
    <row r="66" spans="1:8" ht="16.5" customHeight="1" x14ac:dyDescent="0.2">
      <c r="A66" s="6" t="str">
        <f>IF(AND(ISNUMBER(H65),H65&gt;0),51,"")</f>
        <v/>
      </c>
      <c r="B66" s="7" t="str">
        <f>IF(AND(ISNUMBER(H65),H65&gt;0),EDATE($C$10,51),"")</f>
        <v/>
      </c>
      <c r="C66" s="8" t="str">
        <f t="shared" si="0"/>
        <v/>
      </c>
      <c r="D66" s="9" t="str">
        <f t="shared" si="1"/>
        <v/>
      </c>
      <c r="E66" s="10" t="str">
        <f t="shared" si="2"/>
        <v/>
      </c>
      <c r="F66" s="26" t="str">
        <f t="shared" si="3"/>
        <v/>
      </c>
      <c r="G66" s="21"/>
      <c r="H66" s="11" t="str">
        <f t="shared" si="4"/>
        <v/>
      </c>
    </row>
    <row r="67" spans="1:8" ht="16.5" customHeight="1" x14ac:dyDescent="0.2">
      <c r="A67" s="12" t="str">
        <f>IF(AND(ISNUMBER(H66),H66&gt;0),52,"")</f>
        <v/>
      </c>
      <c r="B67" s="13" t="str">
        <f>IF(AND(ISNUMBER(H66),H66&gt;0),EDATE($C$10,52),"")</f>
        <v/>
      </c>
      <c r="C67" s="14" t="str">
        <f t="shared" si="0"/>
        <v/>
      </c>
      <c r="D67" s="15" t="str">
        <f t="shared" si="1"/>
        <v/>
      </c>
      <c r="E67" s="16" t="str">
        <f t="shared" si="2"/>
        <v/>
      </c>
      <c r="F67" s="27" t="str">
        <f t="shared" si="3"/>
        <v/>
      </c>
      <c r="G67" s="21"/>
      <c r="H67" s="17" t="str">
        <f t="shared" si="4"/>
        <v/>
      </c>
    </row>
    <row r="68" spans="1:8" ht="16.5" customHeight="1" x14ac:dyDescent="0.2">
      <c r="A68" s="6" t="str">
        <f>IF(AND(ISNUMBER(H67),H67&gt;0),53,"")</f>
        <v/>
      </c>
      <c r="B68" s="7" t="str">
        <f>IF(AND(ISNUMBER(H67),H67&gt;0),EDATE($C$10,53),"")</f>
        <v/>
      </c>
      <c r="C68" s="8" t="str">
        <f t="shared" si="0"/>
        <v/>
      </c>
      <c r="D68" s="9" t="str">
        <f t="shared" si="1"/>
        <v/>
      </c>
      <c r="E68" s="10" t="str">
        <f t="shared" si="2"/>
        <v/>
      </c>
      <c r="F68" s="26" t="str">
        <f t="shared" si="3"/>
        <v/>
      </c>
      <c r="G68" s="21"/>
      <c r="H68" s="11" t="str">
        <f t="shared" si="4"/>
        <v/>
      </c>
    </row>
    <row r="69" spans="1:8" ht="16.5" customHeight="1" x14ac:dyDescent="0.2">
      <c r="A69" s="12" t="str">
        <f>IF(AND(ISNUMBER(H68),H68&gt;0),54,"")</f>
        <v/>
      </c>
      <c r="B69" s="13" t="str">
        <f>IF(AND(ISNUMBER(H68),H68&gt;0),EDATE($C$10,54),"")</f>
        <v/>
      </c>
      <c r="C69" s="14" t="str">
        <f t="shared" si="0"/>
        <v/>
      </c>
      <c r="D69" s="15" t="str">
        <f t="shared" si="1"/>
        <v/>
      </c>
      <c r="E69" s="16" t="str">
        <f t="shared" si="2"/>
        <v/>
      </c>
      <c r="F69" s="27" t="str">
        <f t="shared" si="3"/>
        <v/>
      </c>
      <c r="G69" s="21"/>
      <c r="H69" s="17" t="str">
        <f t="shared" si="4"/>
        <v/>
      </c>
    </row>
    <row r="70" spans="1:8" ht="16.5" customHeight="1" x14ac:dyDescent="0.2">
      <c r="A70" s="6" t="str">
        <f>IF(AND(ISNUMBER(H69),H69&gt;0),55,"")</f>
        <v/>
      </c>
      <c r="B70" s="7" t="str">
        <f>IF(AND(ISNUMBER(H69),H69&gt;0),EDATE($C$10,55),"")</f>
        <v/>
      </c>
      <c r="C70" s="8" t="str">
        <f t="shared" si="0"/>
        <v/>
      </c>
      <c r="D70" s="9" t="str">
        <f t="shared" si="1"/>
        <v/>
      </c>
      <c r="E70" s="10" t="str">
        <f t="shared" si="2"/>
        <v/>
      </c>
      <c r="F70" s="26" t="str">
        <f t="shared" si="3"/>
        <v/>
      </c>
      <c r="G70" s="21"/>
      <c r="H70" s="11" t="str">
        <f t="shared" si="4"/>
        <v/>
      </c>
    </row>
    <row r="71" spans="1:8" ht="16.5" customHeight="1" x14ac:dyDescent="0.2">
      <c r="A71" s="12" t="str">
        <f>IF(AND(ISNUMBER(H70),H70&gt;0),56,"")</f>
        <v/>
      </c>
      <c r="B71" s="13" t="str">
        <f>IF(AND(ISNUMBER(H70),H70&gt;0),EDATE($C$10,56),"")</f>
        <v/>
      </c>
      <c r="C71" s="14" t="str">
        <f t="shared" si="0"/>
        <v/>
      </c>
      <c r="D71" s="15" t="str">
        <f t="shared" si="1"/>
        <v/>
      </c>
      <c r="E71" s="16" t="str">
        <f t="shared" si="2"/>
        <v/>
      </c>
      <c r="F71" s="27" t="str">
        <f t="shared" si="3"/>
        <v/>
      </c>
      <c r="G71" s="21"/>
      <c r="H71" s="17" t="str">
        <f t="shared" si="4"/>
        <v/>
      </c>
    </row>
    <row r="72" spans="1:8" ht="16.5" customHeight="1" x14ac:dyDescent="0.2">
      <c r="A72" s="6" t="str">
        <f>IF(AND(ISNUMBER(H71),H71&gt;0),57,"")</f>
        <v/>
      </c>
      <c r="B72" s="7" t="str">
        <f>IF(AND(ISNUMBER(H71),H71&gt;0),EDATE($C$10,57),"")</f>
        <v/>
      </c>
      <c r="C72" s="8" t="str">
        <f t="shared" si="0"/>
        <v/>
      </c>
      <c r="D72" s="9" t="str">
        <f t="shared" si="1"/>
        <v/>
      </c>
      <c r="E72" s="10" t="str">
        <f t="shared" si="2"/>
        <v/>
      </c>
      <c r="F72" s="26" t="str">
        <f t="shared" si="3"/>
        <v/>
      </c>
      <c r="G72" s="21"/>
      <c r="H72" s="11" t="str">
        <f t="shared" si="4"/>
        <v/>
      </c>
    </row>
    <row r="73" spans="1:8" ht="16.5" customHeight="1" x14ac:dyDescent="0.2">
      <c r="A73" s="12" t="str">
        <f>IF(AND(ISNUMBER(H72),H72&gt;0),58,"")</f>
        <v/>
      </c>
      <c r="B73" s="13" t="str">
        <f>IF(AND(ISNUMBER(H72),H72&gt;0),EDATE($C$10,58),"")</f>
        <v/>
      </c>
      <c r="C73" s="14" t="str">
        <f t="shared" si="0"/>
        <v/>
      </c>
      <c r="D73" s="15" t="str">
        <f t="shared" si="1"/>
        <v/>
      </c>
      <c r="E73" s="16" t="str">
        <f t="shared" si="2"/>
        <v/>
      </c>
      <c r="F73" s="27" t="str">
        <f t="shared" si="3"/>
        <v/>
      </c>
      <c r="G73" s="21"/>
      <c r="H73" s="17" t="str">
        <f t="shared" si="4"/>
        <v/>
      </c>
    </row>
    <row r="74" spans="1:8" ht="16.5" customHeight="1" x14ac:dyDescent="0.2">
      <c r="A74" s="6" t="str">
        <f>IF(AND(ISNUMBER(H73),H73&gt;0),59,"")</f>
        <v/>
      </c>
      <c r="B74" s="7" t="str">
        <f>IF(AND(ISNUMBER(H73),H73&gt;0),EDATE($C$10,59),"")</f>
        <v/>
      </c>
      <c r="C74" s="8" t="str">
        <f t="shared" si="0"/>
        <v/>
      </c>
      <c r="D74" s="9" t="str">
        <f t="shared" si="1"/>
        <v/>
      </c>
      <c r="E74" s="10" t="str">
        <f t="shared" si="2"/>
        <v/>
      </c>
      <c r="F74" s="26" t="str">
        <f t="shared" si="3"/>
        <v/>
      </c>
      <c r="G74" s="21"/>
      <c r="H74" s="11" t="str">
        <f t="shared" si="4"/>
        <v/>
      </c>
    </row>
    <row r="75" spans="1:8" ht="16.5" customHeight="1" x14ac:dyDescent="0.2">
      <c r="A75" s="12" t="str">
        <f>IF(AND(ISNUMBER(H74),H74&gt;0),60,"")</f>
        <v/>
      </c>
      <c r="B75" s="13" t="str">
        <f>IF(AND(ISNUMBER(H74),H74&gt;0),EDATE($C$10,60),"")</f>
        <v/>
      </c>
      <c r="C75" s="14" t="str">
        <f t="shared" si="0"/>
        <v/>
      </c>
      <c r="D75" s="15" t="str">
        <f t="shared" si="1"/>
        <v/>
      </c>
      <c r="E75" s="16" t="str">
        <f t="shared" si="2"/>
        <v/>
      </c>
      <c r="F75" s="27" t="str">
        <f t="shared" si="3"/>
        <v/>
      </c>
      <c r="G75" s="21"/>
      <c r="H75" s="17" t="str">
        <f t="shared" si="4"/>
        <v/>
      </c>
    </row>
    <row r="76" spans="1:8" ht="16.5" customHeight="1" x14ac:dyDescent="0.2">
      <c r="A76" s="6" t="str">
        <f>IF(AND(ISNUMBER(H75),H75&gt;0),61,"")</f>
        <v/>
      </c>
      <c r="B76" s="7" t="str">
        <f>IF(AND(ISNUMBER(H75),H75&gt;0),EDATE($C$10,61),"")</f>
        <v/>
      </c>
      <c r="C76" s="8" t="str">
        <f t="shared" si="0"/>
        <v/>
      </c>
      <c r="D76" s="9" t="str">
        <f t="shared" si="1"/>
        <v/>
      </c>
      <c r="E76" s="10" t="str">
        <f t="shared" si="2"/>
        <v/>
      </c>
      <c r="F76" s="26" t="str">
        <f t="shared" si="3"/>
        <v/>
      </c>
      <c r="G76" s="21"/>
      <c r="H76" s="11" t="str">
        <f t="shared" si="4"/>
        <v/>
      </c>
    </row>
    <row r="77" spans="1:8" ht="16.5" customHeight="1" x14ac:dyDescent="0.2">
      <c r="A77" s="12" t="str">
        <f>IF(AND(ISNUMBER(H76),H76&gt;0),62,"")</f>
        <v/>
      </c>
      <c r="B77" s="13" t="str">
        <f>IF(AND(ISNUMBER(H76),H76&gt;0),EDATE($C$10,62),"")</f>
        <v/>
      </c>
      <c r="C77" s="14" t="str">
        <f t="shared" si="0"/>
        <v/>
      </c>
      <c r="D77" s="15" t="str">
        <f t="shared" si="1"/>
        <v/>
      </c>
      <c r="E77" s="16" t="str">
        <f t="shared" si="2"/>
        <v/>
      </c>
      <c r="F77" s="27" t="str">
        <f t="shared" si="3"/>
        <v/>
      </c>
      <c r="G77" s="21"/>
      <c r="H77" s="17" t="str">
        <f t="shared" si="4"/>
        <v/>
      </c>
    </row>
    <row r="78" spans="1:8" ht="16.5" customHeight="1" x14ac:dyDescent="0.2">
      <c r="A78" s="6" t="str">
        <f>IF(AND(ISNUMBER(H77),H77&gt;0),63,"")</f>
        <v/>
      </c>
      <c r="B78" s="7" t="str">
        <f>IF(AND(ISNUMBER(H77),H77&gt;0),EDATE($C$10,63),"")</f>
        <v/>
      </c>
      <c r="C78" s="8" t="str">
        <f t="shared" si="0"/>
        <v/>
      </c>
      <c r="D78" s="9" t="str">
        <f t="shared" si="1"/>
        <v/>
      </c>
      <c r="E78" s="10" t="str">
        <f t="shared" si="2"/>
        <v/>
      </c>
      <c r="F78" s="26" t="str">
        <f t="shared" si="3"/>
        <v/>
      </c>
      <c r="G78" s="21"/>
      <c r="H78" s="11" t="str">
        <f t="shared" si="4"/>
        <v/>
      </c>
    </row>
    <row r="79" spans="1:8" ht="16.5" customHeight="1" x14ac:dyDescent="0.2">
      <c r="A79" s="12" t="str">
        <f>IF(AND(ISNUMBER(H78),H78&gt;0),64,"")</f>
        <v/>
      </c>
      <c r="B79" s="13" t="str">
        <f>IF(AND(ISNUMBER(H78),H78&gt;0),EDATE($C$10,64),"")</f>
        <v/>
      </c>
      <c r="C79" s="14" t="str">
        <f t="shared" si="0"/>
        <v/>
      </c>
      <c r="D79" s="15" t="str">
        <f t="shared" si="1"/>
        <v/>
      </c>
      <c r="E79" s="16" t="str">
        <f t="shared" si="2"/>
        <v/>
      </c>
      <c r="F79" s="27" t="str">
        <f t="shared" si="3"/>
        <v/>
      </c>
      <c r="G79" s="21"/>
      <c r="H79" s="17" t="str">
        <f t="shared" si="4"/>
        <v/>
      </c>
    </row>
    <row r="80" spans="1:8" ht="16.5" customHeight="1" x14ac:dyDescent="0.2">
      <c r="A80" s="6" t="str">
        <f>IF(AND(ISNUMBER(H79),H79&gt;0),65,"")</f>
        <v/>
      </c>
      <c r="B80" s="7" t="str">
        <f>IF(AND(ISNUMBER(H79),H79&gt;0),EDATE($C$10,65),"")</f>
        <v/>
      </c>
      <c r="C80" s="8" t="str">
        <f t="shared" si="0"/>
        <v/>
      </c>
      <c r="D80" s="9" t="str">
        <f t="shared" si="1"/>
        <v/>
      </c>
      <c r="E80" s="10" t="str">
        <f t="shared" si="2"/>
        <v/>
      </c>
      <c r="F80" s="26" t="str">
        <f t="shared" si="3"/>
        <v/>
      </c>
      <c r="G80" s="21"/>
      <c r="H80" s="11" t="str">
        <f t="shared" si="4"/>
        <v/>
      </c>
    </row>
    <row r="81" spans="1:8" ht="16.5" customHeight="1" x14ac:dyDescent="0.2">
      <c r="A81" s="12" t="str">
        <f>IF(AND(ISNUMBER(H80),H80&gt;0),66,"")</f>
        <v/>
      </c>
      <c r="B81" s="13" t="str">
        <f>IF(AND(ISNUMBER(H80),H80&gt;0),EDATE($C$10,66),"")</f>
        <v/>
      </c>
      <c r="C81" s="14" t="str">
        <f t="shared" ref="C81:C144" si="5">IF(AND(ISNUMBER(H80),H80&gt;0),H80,"")</f>
        <v/>
      </c>
      <c r="D81" s="15" t="str">
        <f t="shared" ref="D81:D144" si="6">IFERROR(IF(AND(ISNUMBER(H80),H80&gt;0),ROUND(C81*$C$8/12,2),""),"")</f>
        <v/>
      </c>
      <c r="E81" s="16" t="str">
        <f t="shared" ref="E81:E144" si="7">IFERROR(IF(AND(ISNUMBER(H80),H80&gt;0),C81-H81,""),"")</f>
        <v/>
      </c>
      <c r="F81" s="27" t="str">
        <f t="shared" ref="F81:F144" si="8">IFERROR(IF(AND(ISNUMBER(H80),H80&gt;0),MIN($C$9,C81+D81),""),"")</f>
        <v/>
      </c>
      <c r="G81" s="21"/>
      <c r="H81" s="17" t="str">
        <f t="shared" ref="H81:H144" si="9">IFERROR(IF(AND(ISNUMBER(H80),H80&gt;0),MAX(0,C81+D81-F81-IFERROR(G81*1,0)),""),"")</f>
        <v/>
      </c>
    </row>
    <row r="82" spans="1:8" ht="16.5" customHeight="1" x14ac:dyDescent="0.2">
      <c r="A82" s="6" t="str">
        <f>IF(AND(ISNUMBER(H81),H81&gt;0),67,"")</f>
        <v/>
      </c>
      <c r="B82" s="7" t="str">
        <f>IF(AND(ISNUMBER(H81),H81&gt;0),EDATE($C$10,67),"")</f>
        <v/>
      </c>
      <c r="C82" s="8" t="str">
        <f t="shared" si="5"/>
        <v/>
      </c>
      <c r="D82" s="9" t="str">
        <f t="shared" si="6"/>
        <v/>
      </c>
      <c r="E82" s="10" t="str">
        <f t="shared" si="7"/>
        <v/>
      </c>
      <c r="F82" s="26" t="str">
        <f t="shared" si="8"/>
        <v/>
      </c>
      <c r="G82" s="21"/>
      <c r="H82" s="11" t="str">
        <f t="shared" si="9"/>
        <v/>
      </c>
    </row>
    <row r="83" spans="1:8" ht="16.5" customHeight="1" x14ac:dyDescent="0.2">
      <c r="A83" s="12" t="str">
        <f>IF(AND(ISNUMBER(H82),H82&gt;0),68,"")</f>
        <v/>
      </c>
      <c r="B83" s="13" t="str">
        <f>IF(AND(ISNUMBER(H82),H82&gt;0),EDATE($C$10,68),"")</f>
        <v/>
      </c>
      <c r="C83" s="14" t="str">
        <f t="shared" si="5"/>
        <v/>
      </c>
      <c r="D83" s="15" t="str">
        <f t="shared" si="6"/>
        <v/>
      </c>
      <c r="E83" s="16" t="str">
        <f t="shared" si="7"/>
        <v/>
      </c>
      <c r="F83" s="27" t="str">
        <f t="shared" si="8"/>
        <v/>
      </c>
      <c r="G83" s="21"/>
      <c r="H83" s="17" t="str">
        <f t="shared" si="9"/>
        <v/>
      </c>
    </row>
    <row r="84" spans="1:8" ht="16.5" customHeight="1" x14ac:dyDescent="0.2">
      <c r="A84" s="6" t="str">
        <f>IF(AND(ISNUMBER(H83),H83&gt;0),69,"")</f>
        <v/>
      </c>
      <c r="B84" s="7" t="str">
        <f>IF(AND(ISNUMBER(H83),H83&gt;0),EDATE($C$10,69),"")</f>
        <v/>
      </c>
      <c r="C84" s="8" t="str">
        <f t="shared" si="5"/>
        <v/>
      </c>
      <c r="D84" s="9" t="str">
        <f t="shared" si="6"/>
        <v/>
      </c>
      <c r="E84" s="10" t="str">
        <f t="shared" si="7"/>
        <v/>
      </c>
      <c r="F84" s="26" t="str">
        <f t="shared" si="8"/>
        <v/>
      </c>
      <c r="G84" s="21"/>
      <c r="H84" s="11" t="str">
        <f t="shared" si="9"/>
        <v/>
      </c>
    </row>
    <row r="85" spans="1:8" ht="16.5" customHeight="1" x14ac:dyDescent="0.2">
      <c r="A85" s="12" t="str">
        <f>IF(AND(ISNUMBER(H84),H84&gt;0),70,"")</f>
        <v/>
      </c>
      <c r="B85" s="13" t="str">
        <f>IF(AND(ISNUMBER(H84),H84&gt;0),EDATE($C$10,70),"")</f>
        <v/>
      </c>
      <c r="C85" s="14" t="str">
        <f t="shared" si="5"/>
        <v/>
      </c>
      <c r="D85" s="15" t="str">
        <f t="shared" si="6"/>
        <v/>
      </c>
      <c r="E85" s="16" t="str">
        <f t="shared" si="7"/>
        <v/>
      </c>
      <c r="F85" s="27" t="str">
        <f t="shared" si="8"/>
        <v/>
      </c>
      <c r="G85" s="21"/>
      <c r="H85" s="17" t="str">
        <f t="shared" si="9"/>
        <v/>
      </c>
    </row>
    <row r="86" spans="1:8" ht="16.5" customHeight="1" x14ac:dyDescent="0.2">
      <c r="A86" s="6" t="str">
        <f>IF(AND(ISNUMBER(H85),H85&gt;0),71,"")</f>
        <v/>
      </c>
      <c r="B86" s="7" t="str">
        <f>IF(AND(ISNUMBER(H85),H85&gt;0),EDATE($C$10,71),"")</f>
        <v/>
      </c>
      <c r="C86" s="8" t="str">
        <f t="shared" si="5"/>
        <v/>
      </c>
      <c r="D86" s="9" t="str">
        <f t="shared" si="6"/>
        <v/>
      </c>
      <c r="E86" s="10" t="str">
        <f t="shared" si="7"/>
        <v/>
      </c>
      <c r="F86" s="26" t="str">
        <f t="shared" si="8"/>
        <v/>
      </c>
      <c r="G86" s="21"/>
      <c r="H86" s="11" t="str">
        <f t="shared" si="9"/>
        <v/>
      </c>
    </row>
    <row r="87" spans="1:8" ht="16.5" customHeight="1" x14ac:dyDescent="0.2">
      <c r="A87" s="12" t="str">
        <f>IF(AND(ISNUMBER(H86),H86&gt;0),72,"")</f>
        <v/>
      </c>
      <c r="B87" s="13" t="str">
        <f>IF(AND(ISNUMBER(H86),H86&gt;0),EDATE($C$10,72),"")</f>
        <v/>
      </c>
      <c r="C87" s="14" t="str">
        <f t="shared" si="5"/>
        <v/>
      </c>
      <c r="D87" s="15" t="str">
        <f t="shared" si="6"/>
        <v/>
      </c>
      <c r="E87" s="16" t="str">
        <f t="shared" si="7"/>
        <v/>
      </c>
      <c r="F87" s="27" t="str">
        <f t="shared" si="8"/>
        <v/>
      </c>
      <c r="G87" s="21"/>
      <c r="H87" s="17" t="str">
        <f t="shared" si="9"/>
        <v/>
      </c>
    </row>
    <row r="88" spans="1:8" ht="16.5" customHeight="1" x14ac:dyDescent="0.2">
      <c r="A88" s="6" t="str">
        <f>IF(AND(ISNUMBER(H87),H87&gt;0),73,"")</f>
        <v/>
      </c>
      <c r="B88" s="7" t="str">
        <f>IF(AND(ISNUMBER(H87),H87&gt;0),EDATE($C$10,73),"")</f>
        <v/>
      </c>
      <c r="C88" s="8" t="str">
        <f t="shared" si="5"/>
        <v/>
      </c>
      <c r="D88" s="9" t="str">
        <f t="shared" si="6"/>
        <v/>
      </c>
      <c r="E88" s="10" t="str">
        <f t="shared" si="7"/>
        <v/>
      </c>
      <c r="F88" s="26" t="str">
        <f t="shared" si="8"/>
        <v/>
      </c>
      <c r="G88" s="21"/>
      <c r="H88" s="11" t="str">
        <f t="shared" si="9"/>
        <v/>
      </c>
    </row>
    <row r="89" spans="1:8" ht="16.5" customHeight="1" x14ac:dyDescent="0.2">
      <c r="A89" s="12" t="str">
        <f>IF(AND(ISNUMBER(H88),H88&gt;0),74,"")</f>
        <v/>
      </c>
      <c r="B89" s="13" t="str">
        <f>IF(AND(ISNUMBER(H88),H88&gt;0),EDATE($C$10,74),"")</f>
        <v/>
      </c>
      <c r="C89" s="14" t="str">
        <f t="shared" si="5"/>
        <v/>
      </c>
      <c r="D89" s="15" t="str">
        <f t="shared" si="6"/>
        <v/>
      </c>
      <c r="E89" s="16" t="str">
        <f t="shared" si="7"/>
        <v/>
      </c>
      <c r="F89" s="27" t="str">
        <f t="shared" si="8"/>
        <v/>
      </c>
      <c r="G89" s="21"/>
      <c r="H89" s="17" t="str">
        <f t="shared" si="9"/>
        <v/>
      </c>
    </row>
    <row r="90" spans="1:8" ht="16.5" customHeight="1" x14ac:dyDescent="0.2">
      <c r="A90" s="6" t="str">
        <f>IF(AND(ISNUMBER(H89),H89&gt;0),75,"")</f>
        <v/>
      </c>
      <c r="B90" s="7" t="str">
        <f>IF(AND(ISNUMBER(H89),H89&gt;0),EDATE($C$10,75),"")</f>
        <v/>
      </c>
      <c r="C90" s="8" t="str">
        <f t="shared" si="5"/>
        <v/>
      </c>
      <c r="D90" s="9" t="str">
        <f t="shared" si="6"/>
        <v/>
      </c>
      <c r="E90" s="10" t="str">
        <f t="shared" si="7"/>
        <v/>
      </c>
      <c r="F90" s="26" t="str">
        <f t="shared" si="8"/>
        <v/>
      </c>
      <c r="G90" s="21"/>
      <c r="H90" s="11" t="str">
        <f t="shared" si="9"/>
        <v/>
      </c>
    </row>
    <row r="91" spans="1:8" ht="16.5" customHeight="1" x14ac:dyDescent="0.2">
      <c r="A91" s="12" t="str">
        <f>IF(AND(ISNUMBER(H90),H90&gt;0),76,"")</f>
        <v/>
      </c>
      <c r="B91" s="13" t="str">
        <f>IF(AND(ISNUMBER(H90),H90&gt;0),EDATE($C$10,76),"")</f>
        <v/>
      </c>
      <c r="C91" s="14" t="str">
        <f t="shared" si="5"/>
        <v/>
      </c>
      <c r="D91" s="15" t="str">
        <f t="shared" si="6"/>
        <v/>
      </c>
      <c r="E91" s="16" t="str">
        <f t="shared" si="7"/>
        <v/>
      </c>
      <c r="F91" s="27" t="str">
        <f t="shared" si="8"/>
        <v/>
      </c>
      <c r="G91" s="21"/>
      <c r="H91" s="17" t="str">
        <f t="shared" si="9"/>
        <v/>
      </c>
    </row>
    <row r="92" spans="1:8" ht="16.5" customHeight="1" x14ac:dyDescent="0.2">
      <c r="A92" s="6" t="str">
        <f>IF(AND(ISNUMBER(H91),H91&gt;0),77,"")</f>
        <v/>
      </c>
      <c r="B92" s="7" t="str">
        <f>IF(AND(ISNUMBER(H91),H91&gt;0),EDATE($C$10,77),"")</f>
        <v/>
      </c>
      <c r="C92" s="8" t="str">
        <f t="shared" si="5"/>
        <v/>
      </c>
      <c r="D92" s="9" t="str">
        <f t="shared" si="6"/>
        <v/>
      </c>
      <c r="E92" s="10" t="str">
        <f t="shared" si="7"/>
        <v/>
      </c>
      <c r="F92" s="26" t="str">
        <f t="shared" si="8"/>
        <v/>
      </c>
      <c r="G92" s="21"/>
      <c r="H92" s="11" t="str">
        <f t="shared" si="9"/>
        <v/>
      </c>
    </row>
    <row r="93" spans="1:8" ht="16.5" customHeight="1" x14ac:dyDescent="0.2">
      <c r="A93" s="12" t="str">
        <f>IF(AND(ISNUMBER(H92),H92&gt;0),78,"")</f>
        <v/>
      </c>
      <c r="B93" s="13" t="str">
        <f>IF(AND(ISNUMBER(H92),H92&gt;0),EDATE($C$10,78),"")</f>
        <v/>
      </c>
      <c r="C93" s="14" t="str">
        <f t="shared" si="5"/>
        <v/>
      </c>
      <c r="D93" s="15" t="str">
        <f t="shared" si="6"/>
        <v/>
      </c>
      <c r="E93" s="16" t="str">
        <f t="shared" si="7"/>
        <v/>
      </c>
      <c r="F93" s="27" t="str">
        <f t="shared" si="8"/>
        <v/>
      </c>
      <c r="G93" s="21"/>
      <c r="H93" s="17" t="str">
        <f t="shared" si="9"/>
        <v/>
      </c>
    </row>
    <row r="94" spans="1:8" ht="16.5" customHeight="1" x14ac:dyDescent="0.2">
      <c r="A94" s="6" t="str">
        <f>IF(AND(ISNUMBER(H93),H93&gt;0),79,"")</f>
        <v/>
      </c>
      <c r="B94" s="7" t="str">
        <f>IF(AND(ISNUMBER(H93),H93&gt;0),EDATE($C$10,79),"")</f>
        <v/>
      </c>
      <c r="C94" s="8" t="str">
        <f t="shared" si="5"/>
        <v/>
      </c>
      <c r="D94" s="9" t="str">
        <f t="shared" si="6"/>
        <v/>
      </c>
      <c r="E94" s="10" t="str">
        <f t="shared" si="7"/>
        <v/>
      </c>
      <c r="F94" s="26" t="str">
        <f t="shared" si="8"/>
        <v/>
      </c>
      <c r="G94" s="21"/>
      <c r="H94" s="11" t="str">
        <f t="shared" si="9"/>
        <v/>
      </c>
    </row>
    <row r="95" spans="1:8" ht="16.5" customHeight="1" x14ac:dyDescent="0.2">
      <c r="A95" s="12" t="str">
        <f>IF(AND(ISNUMBER(H94),H94&gt;0),80,"")</f>
        <v/>
      </c>
      <c r="B95" s="13" t="str">
        <f>IF(AND(ISNUMBER(H94),H94&gt;0),EDATE($C$10,80),"")</f>
        <v/>
      </c>
      <c r="C95" s="14" t="str">
        <f t="shared" si="5"/>
        <v/>
      </c>
      <c r="D95" s="15" t="str">
        <f t="shared" si="6"/>
        <v/>
      </c>
      <c r="E95" s="16" t="str">
        <f t="shared" si="7"/>
        <v/>
      </c>
      <c r="F95" s="27" t="str">
        <f t="shared" si="8"/>
        <v/>
      </c>
      <c r="G95" s="21"/>
      <c r="H95" s="17" t="str">
        <f t="shared" si="9"/>
        <v/>
      </c>
    </row>
    <row r="96" spans="1:8" ht="16.5" customHeight="1" x14ac:dyDescent="0.2">
      <c r="A96" s="6" t="str">
        <f>IF(AND(ISNUMBER(H95),H95&gt;0),81,"")</f>
        <v/>
      </c>
      <c r="B96" s="7" t="str">
        <f>IF(AND(ISNUMBER(H95),H95&gt;0),EDATE($C$10,81),"")</f>
        <v/>
      </c>
      <c r="C96" s="8" t="str">
        <f t="shared" si="5"/>
        <v/>
      </c>
      <c r="D96" s="9" t="str">
        <f t="shared" si="6"/>
        <v/>
      </c>
      <c r="E96" s="10" t="str">
        <f t="shared" si="7"/>
        <v/>
      </c>
      <c r="F96" s="26" t="str">
        <f t="shared" si="8"/>
        <v/>
      </c>
      <c r="G96" s="21"/>
      <c r="H96" s="11" t="str">
        <f t="shared" si="9"/>
        <v/>
      </c>
    </row>
    <row r="97" spans="1:8" ht="16.5" customHeight="1" x14ac:dyDescent="0.2">
      <c r="A97" s="12" t="str">
        <f>IF(AND(ISNUMBER(H96),H96&gt;0),82,"")</f>
        <v/>
      </c>
      <c r="B97" s="13" t="str">
        <f>IF(AND(ISNUMBER(H96),H96&gt;0),EDATE($C$10,82),"")</f>
        <v/>
      </c>
      <c r="C97" s="14" t="str">
        <f t="shared" si="5"/>
        <v/>
      </c>
      <c r="D97" s="15" t="str">
        <f t="shared" si="6"/>
        <v/>
      </c>
      <c r="E97" s="16" t="str">
        <f t="shared" si="7"/>
        <v/>
      </c>
      <c r="F97" s="27" t="str">
        <f t="shared" si="8"/>
        <v/>
      </c>
      <c r="G97" s="21"/>
      <c r="H97" s="17" t="str">
        <f t="shared" si="9"/>
        <v/>
      </c>
    </row>
    <row r="98" spans="1:8" ht="16.5" customHeight="1" x14ac:dyDescent="0.2">
      <c r="A98" s="6" t="str">
        <f>IF(AND(ISNUMBER(H97),H97&gt;0),83,"")</f>
        <v/>
      </c>
      <c r="B98" s="7" t="str">
        <f>IF(AND(ISNUMBER(H97),H97&gt;0),EDATE($C$10,83),"")</f>
        <v/>
      </c>
      <c r="C98" s="8" t="str">
        <f t="shared" si="5"/>
        <v/>
      </c>
      <c r="D98" s="9" t="str">
        <f t="shared" si="6"/>
        <v/>
      </c>
      <c r="E98" s="10" t="str">
        <f t="shared" si="7"/>
        <v/>
      </c>
      <c r="F98" s="26" t="str">
        <f t="shared" si="8"/>
        <v/>
      </c>
      <c r="G98" s="21"/>
      <c r="H98" s="11" t="str">
        <f t="shared" si="9"/>
        <v/>
      </c>
    </row>
    <row r="99" spans="1:8" ht="16.5" customHeight="1" x14ac:dyDescent="0.2">
      <c r="A99" s="12" t="str">
        <f>IF(AND(ISNUMBER(H98),H98&gt;0),84,"")</f>
        <v/>
      </c>
      <c r="B99" s="13" t="str">
        <f>IF(AND(ISNUMBER(H98),H98&gt;0),EDATE($C$10,84),"")</f>
        <v/>
      </c>
      <c r="C99" s="14" t="str">
        <f t="shared" si="5"/>
        <v/>
      </c>
      <c r="D99" s="15" t="str">
        <f t="shared" si="6"/>
        <v/>
      </c>
      <c r="E99" s="16" t="str">
        <f t="shared" si="7"/>
        <v/>
      </c>
      <c r="F99" s="27" t="str">
        <f t="shared" si="8"/>
        <v/>
      </c>
      <c r="G99" s="21"/>
      <c r="H99" s="17" t="str">
        <f t="shared" si="9"/>
        <v/>
      </c>
    </row>
    <row r="100" spans="1:8" ht="16.5" customHeight="1" x14ac:dyDescent="0.2">
      <c r="A100" s="6" t="str">
        <f>IF(AND(ISNUMBER(H99),H99&gt;0),85,"")</f>
        <v/>
      </c>
      <c r="B100" s="7" t="str">
        <f>IF(AND(ISNUMBER(H99),H99&gt;0),EDATE($C$10,85),"")</f>
        <v/>
      </c>
      <c r="C100" s="8" t="str">
        <f t="shared" si="5"/>
        <v/>
      </c>
      <c r="D100" s="9" t="str">
        <f t="shared" si="6"/>
        <v/>
      </c>
      <c r="E100" s="10" t="str">
        <f t="shared" si="7"/>
        <v/>
      </c>
      <c r="F100" s="26" t="str">
        <f t="shared" si="8"/>
        <v/>
      </c>
      <c r="G100" s="21"/>
      <c r="H100" s="11" t="str">
        <f t="shared" si="9"/>
        <v/>
      </c>
    </row>
    <row r="101" spans="1:8" ht="16.5" customHeight="1" x14ac:dyDescent="0.2">
      <c r="A101" s="12" t="str">
        <f>IF(AND(ISNUMBER(H100),H100&gt;0),86,"")</f>
        <v/>
      </c>
      <c r="B101" s="13" t="str">
        <f>IF(AND(ISNUMBER(H100),H100&gt;0),EDATE($C$10,86),"")</f>
        <v/>
      </c>
      <c r="C101" s="14" t="str">
        <f t="shared" si="5"/>
        <v/>
      </c>
      <c r="D101" s="15" t="str">
        <f t="shared" si="6"/>
        <v/>
      </c>
      <c r="E101" s="16" t="str">
        <f t="shared" si="7"/>
        <v/>
      </c>
      <c r="F101" s="27" t="str">
        <f t="shared" si="8"/>
        <v/>
      </c>
      <c r="G101" s="21"/>
      <c r="H101" s="17" t="str">
        <f t="shared" si="9"/>
        <v/>
      </c>
    </row>
    <row r="102" spans="1:8" ht="16.5" customHeight="1" x14ac:dyDescent="0.2">
      <c r="A102" s="6" t="str">
        <f>IF(AND(ISNUMBER(H101),H101&gt;0),87,"")</f>
        <v/>
      </c>
      <c r="B102" s="7" t="str">
        <f>IF(AND(ISNUMBER(H101),H101&gt;0),EDATE($C$10,87),"")</f>
        <v/>
      </c>
      <c r="C102" s="8" t="str">
        <f t="shared" si="5"/>
        <v/>
      </c>
      <c r="D102" s="9" t="str">
        <f t="shared" si="6"/>
        <v/>
      </c>
      <c r="E102" s="10" t="str">
        <f t="shared" si="7"/>
        <v/>
      </c>
      <c r="F102" s="26" t="str">
        <f t="shared" si="8"/>
        <v/>
      </c>
      <c r="G102" s="21"/>
      <c r="H102" s="11" t="str">
        <f t="shared" si="9"/>
        <v/>
      </c>
    </row>
    <row r="103" spans="1:8" ht="16.5" customHeight="1" x14ac:dyDescent="0.2">
      <c r="A103" s="12" t="str">
        <f>IF(AND(ISNUMBER(H102),H102&gt;0),88,"")</f>
        <v/>
      </c>
      <c r="B103" s="13" t="str">
        <f>IF(AND(ISNUMBER(H102),H102&gt;0),EDATE($C$10,88),"")</f>
        <v/>
      </c>
      <c r="C103" s="14" t="str">
        <f t="shared" si="5"/>
        <v/>
      </c>
      <c r="D103" s="15" t="str">
        <f t="shared" si="6"/>
        <v/>
      </c>
      <c r="E103" s="16" t="str">
        <f t="shared" si="7"/>
        <v/>
      </c>
      <c r="F103" s="27" t="str">
        <f t="shared" si="8"/>
        <v/>
      </c>
      <c r="G103" s="21"/>
      <c r="H103" s="17" t="str">
        <f t="shared" si="9"/>
        <v/>
      </c>
    </row>
    <row r="104" spans="1:8" ht="16.5" customHeight="1" x14ac:dyDescent="0.2">
      <c r="A104" s="6" t="str">
        <f>IF(AND(ISNUMBER(H103),H103&gt;0),89,"")</f>
        <v/>
      </c>
      <c r="B104" s="7" t="str">
        <f>IF(AND(ISNUMBER(H103),H103&gt;0),EDATE($C$10,89),"")</f>
        <v/>
      </c>
      <c r="C104" s="8" t="str">
        <f t="shared" si="5"/>
        <v/>
      </c>
      <c r="D104" s="9" t="str">
        <f t="shared" si="6"/>
        <v/>
      </c>
      <c r="E104" s="10" t="str">
        <f t="shared" si="7"/>
        <v/>
      </c>
      <c r="F104" s="26" t="str">
        <f t="shared" si="8"/>
        <v/>
      </c>
      <c r="G104" s="21"/>
      <c r="H104" s="11" t="str">
        <f t="shared" si="9"/>
        <v/>
      </c>
    </row>
    <row r="105" spans="1:8" ht="16.5" customHeight="1" x14ac:dyDescent="0.2">
      <c r="A105" s="12" t="str">
        <f>IF(AND(ISNUMBER(H104),H104&gt;0),90,"")</f>
        <v/>
      </c>
      <c r="B105" s="13" t="str">
        <f>IF(AND(ISNUMBER(H104),H104&gt;0),EDATE($C$10,90),"")</f>
        <v/>
      </c>
      <c r="C105" s="14" t="str">
        <f t="shared" si="5"/>
        <v/>
      </c>
      <c r="D105" s="15" t="str">
        <f t="shared" si="6"/>
        <v/>
      </c>
      <c r="E105" s="16" t="str">
        <f t="shared" si="7"/>
        <v/>
      </c>
      <c r="F105" s="27" t="str">
        <f t="shared" si="8"/>
        <v/>
      </c>
      <c r="G105" s="21"/>
      <c r="H105" s="17" t="str">
        <f t="shared" si="9"/>
        <v/>
      </c>
    </row>
    <row r="106" spans="1:8" ht="16.5" customHeight="1" x14ac:dyDescent="0.2">
      <c r="A106" s="6" t="str">
        <f>IF(AND(ISNUMBER(H105),H105&gt;0),91,"")</f>
        <v/>
      </c>
      <c r="B106" s="7" t="str">
        <f>IF(AND(ISNUMBER(H105),H105&gt;0),EDATE($C$10,91),"")</f>
        <v/>
      </c>
      <c r="C106" s="8" t="str">
        <f t="shared" si="5"/>
        <v/>
      </c>
      <c r="D106" s="9" t="str">
        <f t="shared" si="6"/>
        <v/>
      </c>
      <c r="E106" s="10" t="str">
        <f t="shared" si="7"/>
        <v/>
      </c>
      <c r="F106" s="26" t="str">
        <f t="shared" si="8"/>
        <v/>
      </c>
      <c r="G106" s="21"/>
      <c r="H106" s="11" t="str">
        <f t="shared" si="9"/>
        <v/>
      </c>
    </row>
    <row r="107" spans="1:8" ht="16.5" customHeight="1" x14ac:dyDescent="0.2">
      <c r="A107" s="12" t="str">
        <f>IF(AND(ISNUMBER(H106),H106&gt;0),92,"")</f>
        <v/>
      </c>
      <c r="B107" s="13" t="str">
        <f>IF(AND(ISNUMBER(H106),H106&gt;0),EDATE($C$10,92),"")</f>
        <v/>
      </c>
      <c r="C107" s="14" t="str">
        <f t="shared" si="5"/>
        <v/>
      </c>
      <c r="D107" s="15" t="str">
        <f t="shared" si="6"/>
        <v/>
      </c>
      <c r="E107" s="16" t="str">
        <f t="shared" si="7"/>
        <v/>
      </c>
      <c r="F107" s="27" t="str">
        <f t="shared" si="8"/>
        <v/>
      </c>
      <c r="G107" s="21"/>
      <c r="H107" s="17" t="str">
        <f t="shared" si="9"/>
        <v/>
      </c>
    </row>
    <row r="108" spans="1:8" ht="16.5" customHeight="1" x14ac:dyDescent="0.2">
      <c r="A108" s="6" t="str">
        <f>IF(AND(ISNUMBER(H107),H107&gt;0),93,"")</f>
        <v/>
      </c>
      <c r="B108" s="7" t="str">
        <f>IF(AND(ISNUMBER(H107),H107&gt;0),EDATE($C$10,93),"")</f>
        <v/>
      </c>
      <c r="C108" s="8" t="str">
        <f t="shared" si="5"/>
        <v/>
      </c>
      <c r="D108" s="9" t="str">
        <f t="shared" si="6"/>
        <v/>
      </c>
      <c r="E108" s="10" t="str">
        <f t="shared" si="7"/>
        <v/>
      </c>
      <c r="F108" s="26" t="str">
        <f t="shared" si="8"/>
        <v/>
      </c>
      <c r="G108" s="21"/>
      <c r="H108" s="11" t="str">
        <f t="shared" si="9"/>
        <v/>
      </c>
    </row>
    <row r="109" spans="1:8" ht="16.5" customHeight="1" x14ac:dyDescent="0.2">
      <c r="A109" s="12" t="str">
        <f>IF(AND(ISNUMBER(H108),H108&gt;0),94,"")</f>
        <v/>
      </c>
      <c r="B109" s="13" t="str">
        <f>IF(AND(ISNUMBER(H108),H108&gt;0),EDATE($C$10,94),"")</f>
        <v/>
      </c>
      <c r="C109" s="14" t="str">
        <f t="shared" si="5"/>
        <v/>
      </c>
      <c r="D109" s="15" t="str">
        <f t="shared" si="6"/>
        <v/>
      </c>
      <c r="E109" s="16" t="str">
        <f t="shared" si="7"/>
        <v/>
      </c>
      <c r="F109" s="27" t="str">
        <f t="shared" si="8"/>
        <v/>
      </c>
      <c r="G109" s="21"/>
      <c r="H109" s="17" t="str">
        <f t="shared" si="9"/>
        <v/>
      </c>
    </row>
    <row r="110" spans="1:8" ht="16.5" customHeight="1" x14ac:dyDescent="0.2">
      <c r="A110" s="6" t="str">
        <f>IF(AND(ISNUMBER(H109),H109&gt;0),95,"")</f>
        <v/>
      </c>
      <c r="B110" s="7" t="str">
        <f>IF(AND(ISNUMBER(H109),H109&gt;0),EDATE($C$10,95),"")</f>
        <v/>
      </c>
      <c r="C110" s="8" t="str">
        <f t="shared" si="5"/>
        <v/>
      </c>
      <c r="D110" s="9" t="str">
        <f t="shared" si="6"/>
        <v/>
      </c>
      <c r="E110" s="10" t="str">
        <f t="shared" si="7"/>
        <v/>
      </c>
      <c r="F110" s="26" t="str">
        <f t="shared" si="8"/>
        <v/>
      </c>
      <c r="G110" s="21"/>
      <c r="H110" s="11" t="str">
        <f t="shared" si="9"/>
        <v/>
      </c>
    </row>
    <row r="111" spans="1:8" ht="16.5" customHeight="1" x14ac:dyDescent="0.2">
      <c r="A111" s="12" t="str">
        <f>IF(AND(ISNUMBER(H110),H110&gt;0),96,"")</f>
        <v/>
      </c>
      <c r="B111" s="13" t="str">
        <f>IF(AND(ISNUMBER(H110),H110&gt;0),EDATE($C$10,96),"")</f>
        <v/>
      </c>
      <c r="C111" s="14" t="str">
        <f t="shared" si="5"/>
        <v/>
      </c>
      <c r="D111" s="15" t="str">
        <f t="shared" si="6"/>
        <v/>
      </c>
      <c r="E111" s="16" t="str">
        <f t="shared" si="7"/>
        <v/>
      </c>
      <c r="F111" s="27" t="str">
        <f t="shared" si="8"/>
        <v/>
      </c>
      <c r="G111" s="21"/>
      <c r="H111" s="17" t="str">
        <f t="shared" si="9"/>
        <v/>
      </c>
    </row>
    <row r="112" spans="1:8" ht="16.5" customHeight="1" x14ac:dyDescent="0.2">
      <c r="A112" s="6" t="str">
        <f>IF(AND(ISNUMBER(H111),H111&gt;0),97,"")</f>
        <v/>
      </c>
      <c r="B112" s="7" t="str">
        <f>IF(AND(ISNUMBER(H111),H111&gt;0),EDATE($C$10,97),"")</f>
        <v/>
      </c>
      <c r="C112" s="8" t="str">
        <f t="shared" si="5"/>
        <v/>
      </c>
      <c r="D112" s="9" t="str">
        <f t="shared" si="6"/>
        <v/>
      </c>
      <c r="E112" s="10" t="str">
        <f t="shared" si="7"/>
        <v/>
      </c>
      <c r="F112" s="26" t="str">
        <f t="shared" si="8"/>
        <v/>
      </c>
      <c r="G112" s="21"/>
      <c r="H112" s="11" t="str">
        <f t="shared" si="9"/>
        <v/>
      </c>
    </row>
    <row r="113" spans="1:8" ht="16.5" customHeight="1" x14ac:dyDescent="0.2">
      <c r="A113" s="12" t="str">
        <f>IF(AND(ISNUMBER(H112),H112&gt;0),98,"")</f>
        <v/>
      </c>
      <c r="B113" s="13" t="str">
        <f>IF(AND(ISNUMBER(H112),H112&gt;0),EDATE($C$10,98),"")</f>
        <v/>
      </c>
      <c r="C113" s="14" t="str">
        <f t="shared" si="5"/>
        <v/>
      </c>
      <c r="D113" s="15" t="str">
        <f t="shared" si="6"/>
        <v/>
      </c>
      <c r="E113" s="16" t="str">
        <f t="shared" si="7"/>
        <v/>
      </c>
      <c r="F113" s="27" t="str">
        <f t="shared" si="8"/>
        <v/>
      </c>
      <c r="G113" s="21"/>
      <c r="H113" s="17" t="str">
        <f t="shared" si="9"/>
        <v/>
      </c>
    </row>
    <row r="114" spans="1:8" ht="16.5" customHeight="1" x14ac:dyDescent="0.2">
      <c r="A114" s="6" t="str">
        <f>IF(AND(ISNUMBER(H113),H113&gt;0),99,"")</f>
        <v/>
      </c>
      <c r="B114" s="7" t="str">
        <f>IF(AND(ISNUMBER(H113),H113&gt;0),EDATE($C$10,99),"")</f>
        <v/>
      </c>
      <c r="C114" s="8" t="str">
        <f t="shared" si="5"/>
        <v/>
      </c>
      <c r="D114" s="9" t="str">
        <f t="shared" si="6"/>
        <v/>
      </c>
      <c r="E114" s="10" t="str">
        <f t="shared" si="7"/>
        <v/>
      </c>
      <c r="F114" s="26" t="str">
        <f t="shared" si="8"/>
        <v/>
      </c>
      <c r="G114" s="21"/>
      <c r="H114" s="11" t="str">
        <f t="shared" si="9"/>
        <v/>
      </c>
    </row>
    <row r="115" spans="1:8" ht="16.5" customHeight="1" x14ac:dyDescent="0.2">
      <c r="A115" s="12" t="str">
        <f>IF(AND(ISNUMBER(H114),H114&gt;0),100,"")</f>
        <v/>
      </c>
      <c r="B115" s="13" t="str">
        <f>IF(AND(ISNUMBER(H114),H114&gt;0),EDATE($C$10,100),"")</f>
        <v/>
      </c>
      <c r="C115" s="14" t="str">
        <f t="shared" si="5"/>
        <v/>
      </c>
      <c r="D115" s="15" t="str">
        <f t="shared" si="6"/>
        <v/>
      </c>
      <c r="E115" s="16" t="str">
        <f t="shared" si="7"/>
        <v/>
      </c>
      <c r="F115" s="27" t="str">
        <f t="shared" si="8"/>
        <v/>
      </c>
      <c r="G115" s="21"/>
      <c r="H115" s="17" t="str">
        <f t="shared" si="9"/>
        <v/>
      </c>
    </row>
    <row r="116" spans="1:8" ht="16.5" customHeight="1" x14ac:dyDescent="0.2">
      <c r="A116" s="6" t="str">
        <f>IF(AND(ISNUMBER(H115),H115&gt;0),101,"")</f>
        <v/>
      </c>
      <c r="B116" s="7" t="str">
        <f>IF(AND(ISNUMBER(H115),H115&gt;0),EDATE($C$10,101),"")</f>
        <v/>
      </c>
      <c r="C116" s="8" t="str">
        <f t="shared" si="5"/>
        <v/>
      </c>
      <c r="D116" s="9" t="str">
        <f t="shared" si="6"/>
        <v/>
      </c>
      <c r="E116" s="10" t="str">
        <f t="shared" si="7"/>
        <v/>
      </c>
      <c r="F116" s="26" t="str">
        <f t="shared" si="8"/>
        <v/>
      </c>
      <c r="G116" s="21"/>
      <c r="H116" s="11" t="str">
        <f t="shared" si="9"/>
        <v/>
      </c>
    </row>
    <row r="117" spans="1:8" ht="16.5" customHeight="1" x14ac:dyDescent="0.2">
      <c r="A117" s="12" t="str">
        <f>IF(AND(ISNUMBER(H116),H116&gt;0),102,"")</f>
        <v/>
      </c>
      <c r="B117" s="13" t="str">
        <f>IF(AND(ISNUMBER(H116),H116&gt;0),EDATE($C$10,102),"")</f>
        <v/>
      </c>
      <c r="C117" s="14" t="str">
        <f t="shared" si="5"/>
        <v/>
      </c>
      <c r="D117" s="15" t="str">
        <f t="shared" si="6"/>
        <v/>
      </c>
      <c r="E117" s="16" t="str">
        <f t="shared" si="7"/>
        <v/>
      </c>
      <c r="F117" s="27" t="str">
        <f t="shared" si="8"/>
        <v/>
      </c>
      <c r="G117" s="21"/>
      <c r="H117" s="17" t="str">
        <f t="shared" si="9"/>
        <v/>
      </c>
    </row>
    <row r="118" spans="1:8" ht="16.5" customHeight="1" x14ac:dyDescent="0.2">
      <c r="A118" s="6" t="str">
        <f>IF(AND(ISNUMBER(H117),H117&gt;0),103,"")</f>
        <v/>
      </c>
      <c r="B118" s="7" t="str">
        <f>IF(AND(ISNUMBER(H117),H117&gt;0),EDATE($C$10,103),"")</f>
        <v/>
      </c>
      <c r="C118" s="8" t="str">
        <f t="shared" si="5"/>
        <v/>
      </c>
      <c r="D118" s="9" t="str">
        <f t="shared" si="6"/>
        <v/>
      </c>
      <c r="E118" s="10" t="str">
        <f t="shared" si="7"/>
        <v/>
      </c>
      <c r="F118" s="26" t="str">
        <f t="shared" si="8"/>
        <v/>
      </c>
      <c r="G118" s="21"/>
      <c r="H118" s="11" t="str">
        <f t="shared" si="9"/>
        <v/>
      </c>
    </row>
    <row r="119" spans="1:8" ht="16.5" customHeight="1" x14ac:dyDescent="0.2">
      <c r="A119" s="12" t="str">
        <f>IF(AND(ISNUMBER(H118),H118&gt;0),104,"")</f>
        <v/>
      </c>
      <c r="B119" s="13" t="str">
        <f>IF(AND(ISNUMBER(H118),H118&gt;0),EDATE($C$10,104),"")</f>
        <v/>
      </c>
      <c r="C119" s="14" t="str">
        <f t="shared" si="5"/>
        <v/>
      </c>
      <c r="D119" s="15" t="str">
        <f t="shared" si="6"/>
        <v/>
      </c>
      <c r="E119" s="16" t="str">
        <f t="shared" si="7"/>
        <v/>
      </c>
      <c r="F119" s="27" t="str">
        <f t="shared" si="8"/>
        <v/>
      </c>
      <c r="G119" s="21"/>
      <c r="H119" s="17" t="str">
        <f t="shared" si="9"/>
        <v/>
      </c>
    </row>
    <row r="120" spans="1:8" ht="16.5" customHeight="1" x14ac:dyDescent="0.2">
      <c r="A120" s="6" t="str">
        <f>IF(AND(ISNUMBER(H119),H119&gt;0),105,"")</f>
        <v/>
      </c>
      <c r="B120" s="7" t="str">
        <f>IF(AND(ISNUMBER(H119),H119&gt;0),EDATE($C$10,105),"")</f>
        <v/>
      </c>
      <c r="C120" s="8" t="str">
        <f t="shared" si="5"/>
        <v/>
      </c>
      <c r="D120" s="9" t="str">
        <f t="shared" si="6"/>
        <v/>
      </c>
      <c r="E120" s="10" t="str">
        <f t="shared" si="7"/>
        <v/>
      </c>
      <c r="F120" s="26" t="str">
        <f t="shared" si="8"/>
        <v/>
      </c>
      <c r="G120" s="21"/>
      <c r="H120" s="11" t="str">
        <f t="shared" si="9"/>
        <v/>
      </c>
    </row>
    <row r="121" spans="1:8" ht="16.5" customHeight="1" x14ac:dyDescent="0.2">
      <c r="A121" s="12" t="str">
        <f>IF(AND(ISNUMBER(H120),H120&gt;0),106,"")</f>
        <v/>
      </c>
      <c r="B121" s="13" t="str">
        <f>IF(AND(ISNUMBER(H120),H120&gt;0),EDATE($C$10,106),"")</f>
        <v/>
      </c>
      <c r="C121" s="14" t="str">
        <f t="shared" si="5"/>
        <v/>
      </c>
      <c r="D121" s="15" t="str">
        <f t="shared" si="6"/>
        <v/>
      </c>
      <c r="E121" s="16" t="str">
        <f t="shared" si="7"/>
        <v/>
      </c>
      <c r="F121" s="27" t="str">
        <f t="shared" si="8"/>
        <v/>
      </c>
      <c r="G121" s="21"/>
      <c r="H121" s="17" t="str">
        <f t="shared" si="9"/>
        <v/>
      </c>
    </row>
    <row r="122" spans="1:8" ht="16.5" customHeight="1" x14ac:dyDescent="0.2">
      <c r="A122" s="6" t="str">
        <f>IF(AND(ISNUMBER(H121),H121&gt;0),107,"")</f>
        <v/>
      </c>
      <c r="B122" s="7" t="str">
        <f>IF(AND(ISNUMBER(H121),H121&gt;0),EDATE($C$10,107),"")</f>
        <v/>
      </c>
      <c r="C122" s="8" t="str">
        <f t="shared" si="5"/>
        <v/>
      </c>
      <c r="D122" s="9" t="str">
        <f t="shared" si="6"/>
        <v/>
      </c>
      <c r="E122" s="10" t="str">
        <f t="shared" si="7"/>
        <v/>
      </c>
      <c r="F122" s="26" t="str">
        <f t="shared" si="8"/>
        <v/>
      </c>
      <c r="G122" s="21"/>
      <c r="H122" s="11" t="str">
        <f t="shared" si="9"/>
        <v/>
      </c>
    </row>
    <row r="123" spans="1:8" ht="16.5" customHeight="1" x14ac:dyDescent="0.2">
      <c r="A123" s="12" t="str">
        <f>IF(AND(ISNUMBER(H122),H122&gt;0),108,"")</f>
        <v/>
      </c>
      <c r="B123" s="13" t="str">
        <f>IF(AND(ISNUMBER(H122),H122&gt;0),EDATE($C$10,108),"")</f>
        <v/>
      </c>
      <c r="C123" s="14" t="str">
        <f t="shared" si="5"/>
        <v/>
      </c>
      <c r="D123" s="15" t="str">
        <f t="shared" si="6"/>
        <v/>
      </c>
      <c r="E123" s="16" t="str">
        <f t="shared" si="7"/>
        <v/>
      </c>
      <c r="F123" s="27" t="str">
        <f t="shared" si="8"/>
        <v/>
      </c>
      <c r="G123" s="21"/>
      <c r="H123" s="17" t="str">
        <f t="shared" si="9"/>
        <v/>
      </c>
    </row>
    <row r="124" spans="1:8" ht="16.5" customHeight="1" x14ac:dyDescent="0.2">
      <c r="A124" s="6" t="str">
        <f>IF(AND(ISNUMBER(H123),H123&gt;0),109,"")</f>
        <v/>
      </c>
      <c r="B124" s="7" t="str">
        <f>IF(AND(ISNUMBER(H123),H123&gt;0),EDATE($C$10,109),"")</f>
        <v/>
      </c>
      <c r="C124" s="8" t="str">
        <f t="shared" si="5"/>
        <v/>
      </c>
      <c r="D124" s="9" t="str">
        <f t="shared" si="6"/>
        <v/>
      </c>
      <c r="E124" s="10" t="str">
        <f t="shared" si="7"/>
        <v/>
      </c>
      <c r="F124" s="26" t="str">
        <f t="shared" si="8"/>
        <v/>
      </c>
      <c r="G124" s="21"/>
      <c r="H124" s="11" t="str">
        <f t="shared" si="9"/>
        <v/>
      </c>
    </row>
    <row r="125" spans="1:8" ht="16.5" customHeight="1" x14ac:dyDescent="0.2">
      <c r="A125" s="12" t="str">
        <f>IF(AND(ISNUMBER(H124),H124&gt;0),110,"")</f>
        <v/>
      </c>
      <c r="B125" s="13" t="str">
        <f>IF(AND(ISNUMBER(H124),H124&gt;0),EDATE($C$10,110),"")</f>
        <v/>
      </c>
      <c r="C125" s="14" t="str">
        <f t="shared" si="5"/>
        <v/>
      </c>
      <c r="D125" s="15" t="str">
        <f t="shared" si="6"/>
        <v/>
      </c>
      <c r="E125" s="16" t="str">
        <f t="shared" si="7"/>
        <v/>
      </c>
      <c r="F125" s="27" t="str">
        <f t="shared" si="8"/>
        <v/>
      </c>
      <c r="G125" s="21"/>
      <c r="H125" s="17" t="str">
        <f t="shared" si="9"/>
        <v/>
      </c>
    </row>
    <row r="126" spans="1:8" ht="16.5" customHeight="1" x14ac:dyDescent="0.2">
      <c r="A126" s="6" t="str">
        <f>IF(AND(ISNUMBER(H125),H125&gt;0),111,"")</f>
        <v/>
      </c>
      <c r="B126" s="7" t="str">
        <f>IF(AND(ISNUMBER(H125),H125&gt;0),EDATE($C$10,111),"")</f>
        <v/>
      </c>
      <c r="C126" s="8" t="str">
        <f t="shared" si="5"/>
        <v/>
      </c>
      <c r="D126" s="9" t="str">
        <f t="shared" si="6"/>
        <v/>
      </c>
      <c r="E126" s="10" t="str">
        <f t="shared" si="7"/>
        <v/>
      </c>
      <c r="F126" s="26" t="str">
        <f t="shared" si="8"/>
        <v/>
      </c>
      <c r="G126" s="21"/>
      <c r="H126" s="11" t="str">
        <f t="shared" si="9"/>
        <v/>
      </c>
    </row>
    <row r="127" spans="1:8" ht="16.5" customHeight="1" x14ac:dyDescent="0.2">
      <c r="A127" s="12" t="str">
        <f>IF(AND(ISNUMBER(H126),H126&gt;0),112,"")</f>
        <v/>
      </c>
      <c r="B127" s="13" t="str">
        <f>IF(AND(ISNUMBER(H126),H126&gt;0),EDATE($C$10,112),"")</f>
        <v/>
      </c>
      <c r="C127" s="14" t="str">
        <f t="shared" si="5"/>
        <v/>
      </c>
      <c r="D127" s="15" t="str">
        <f t="shared" si="6"/>
        <v/>
      </c>
      <c r="E127" s="16" t="str">
        <f t="shared" si="7"/>
        <v/>
      </c>
      <c r="F127" s="27" t="str">
        <f t="shared" si="8"/>
        <v/>
      </c>
      <c r="G127" s="21"/>
      <c r="H127" s="17" t="str">
        <f t="shared" si="9"/>
        <v/>
      </c>
    </row>
    <row r="128" spans="1:8" ht="16.5" customHeight="1" x14ac:dyDescent="0.2">
      <c r="A128" s="6" t="str">
        <f>IF(AND(ISNUMBER(H127),H127&gt;0),113,"")</f>
        <v/>
      </c>
      <c r="B128" s="7" t="str">
        <f>IF(AND(ISNUMBER(H127),H127&gt;0),EDATE($C$10,113),"")</f>
        <v/>
      </c>
      <c r="C128" s="8" t="str">
        <f t="shared" si="5"/>
        <v/>
      </c>
      <c r="D128" s="9" t="str">
        <f t="shared" si="6"/>
        <v/>
      </c>
      <c r="E128" s="10" t="str">
        <f t="shared" si="7"/>
        <v/>
      </c>
      <c r="F128" s="26" t="str">
        <f t="shared" si="8"/>
        <v/>
      </c>
      <c r="G128" s="21"/>
      <c r="H128" s="11" t="str">
        <f t="shared" si="9"/>
        <v/>
      </c>
    </row>
    <row r="129" spans="1:8" ht="16.5" customHeight="1" x14ac:dyDescent="0.2">
      <c r="A129" s="12" t="str">
        <f>IF(AND(ISNUMBER(H128),H128&gt;0),114,"")</f>
        <v/>
      </c>
      <c r="B129" s="13" t="str">
        <f>IF(AND(ISNUMBER(H128),H128&gt;0),EDATE($C$10,114),"")</f>
        <v/>
      </c>
      <c r="C129" s="14" t="str">
        <f t="shared" si="5"/>
        <v/>
      </c>
      <c r="D129" s="15" t="str">
        <f t="shared" si="6"/>
        <v/>
      </c>
      <c r="E129" s="16" t="str">
        <f t="shared" si="7"/>
        <v/>
      </c>
      <c r="F129" s="27" t="str">
        <f t="shared" si="8"/>
        <v/>
      </c>
      <c r="G129" s="21"/>
      <c r="H129" s="17" t="str">
        <f t="shared" si="9"/>
        <v/>
      </c>
    </row>
    <row r="130" spans="1:8" ht="16.5" customHeight="1" x14ac:dyDescent="0.2">
      <c r="A130" s="6" t="str">
        <f>IF(AND(ISNUMBER(H129),H129&gt;0),115,"")</f>
        <v/>
      </c>
      <c r="B130" s="7" t="str">
        <f>IF(AND(ISNUMBER(H129),H129&gt;0),EDATE($C$10,115),"")</f>
        <v/>
      </c>
      <c r="C130" s="8" t="str">
        <f t="shared" si="5"/>
        <v/>
      </c>
      <c r="D130" s="9" t="str">
        <f t="shared" si="6"/>
        <v/>
      </c>
      <c r="E130" s="10" t="str">
        <f t="shared" si="7"/>
        <v/>
      </c>
      <c r="F130" s="26" t="str">
        <f t="shared" si="8"/>
        <v/>
      </c>
      <c r="G130" s="21"/>
      <c r="H130" s="11" t="str">
        <f t="shared" si="9"/>
        <v/>
      </c>
    </row>
    <row r="131" spans="1:8" ht="16.5" customHeight="1" x14ac:dyDescent="0.2">
      <c r="A131" s="12" t="str">
        <f>IF(AND(ISNUMBER(H130),H130&gt;0),116,"")</f>
        <v/>
      </c>
      <c r="B131" s="13" t="str">
        <f>IF(AND(ISNUMBER(H130),H130&gt;0),EDATE($C$10,116),"")</f>
        <v/>
      </c>
      <c r="C131" s="14" t="str">
        <f t="shared" si="5"/>
        <v/>
      </c>
      <c r="D131" s="15" t="str">
        <f t="shared" si="6"/>
        <v/>
      </c>
      <c r="E131" s="16" t="str">
        <f t="shared" si="7"/>
        <v/>
      </c>
      <c r="F131" s="27" t="str">
        <f t="shared" si="8"/>
        <v/>
      </c>
      <c r="G131" s="21"/>
      <c r="H131" s="17" t="str">
        <f t="shared" si="9"/>
        <v/>
      </c>
    </row>
    <row r="132" spans="1:8" ht="16.5" customHeight="1" x14ac:dyDescent="0.2">
      <c r="A132" s="6" t="str">
        <f>IF(AND(ISNUMBER(H131),H131&gt;0),117,"")</f>
        <v/>
      </c>
      <c r="B132" s="7" t="str">
        <f>IF(AND(ISNUMBER(H131),H131&gt;0),EDATE($C$10,117),"")</f>
        <v/>
      </c>
      <c r="C132" s="8" t="str">
        <f t="shared" si="5"/>
        <v/>
      </c>
      <c r="D132" s="9" t="str">
        <f t="shared" si="6"/>
        <v/>
      </c>
      <c r="E132" s="10" t="str">
        <f t="shared" si="7"/>
        <v/>
      </c>
      <c r="F132" s="26" t="str">
        <f t="shared" si="8"/>
        <v/>
      </c>
      <c r="G132" s="21"/>
      <c r="H132" s="11" t="str">
        <f t="shared" si="9"/>
        <v/>
      </c>
    </row>
    <row r="133" spans="1:8" ht="16.5" customHeight="1" x14ac:dyDescent="0.2">
      <c r="A133" s="12" t="str">
        <f>IF(AND(ISNUMBER(H132),H132&gt;0),118,"")</f>
        <v/>
      </c>
      <c r="B133" s="13" t="str">
        <f>IF(AND(ISNUMBER(H132),H132&gt;0),EDATE($C$10,118),"")</f>
        <v/>
      </c>
      <c r="C133" s="14" t="str">
        <f t="shared" si="5"/>
        <v/>
      </c>
      <c r="D133" s="15" t="str">
        <f t="shared" si="6"/>
        <v/>
      </c>
      <c r="E133" s="16" t="str">
        <f t="shared" si="7"/>
        <v/>
      </c>
      <c r="F133" s="27" t="str">
        <f t="shared" si="8"/>
        <v/>
      </c>
      <c r="G133" s="21"/>
      <c r="H133" s="17" t="str">
        <f t="shared" si="9"/>
        <v/>
      </c>
    </row>
    <row r="134" spans="1:8" ht="16.5" customHeight="1" x14ac:dyDescent="0.2">
      <c r="A134" s="6" t="str">
        <f>IF(AND(ISNUMBER(H133),H133&gt;0),119,"")</f>
        <v/>
      </c>
      <c r="B134" s="7" t="str">
        <f>IF(AND(ISNUMBER(H133),H133&gt;0),EDATE($C$10,119),"")</f>
        <v/>
      </c>
      <c r="C134" s="8" t="str">
        <f t="shared" si="5"/>
        <v/>
      </c>
      <c r="D134" s="9" t="str">
        <f t="shared" si="6"/>
        <v/>
      </c>
      <c r="E134" s="10" t="str">
        <f t="shared" si="7"/>
        <v/>
      </c>
      <c r="F134" s="26" t="str">
        <f t="shared" si="8"/>
        <v/>
      </c>
      <c r="G134" s="21"/>
      <c r="H134" s="11" t="str">
        <f t="shared" si="9"/>
        <v/>
      </c>
    </row>
    <row r="135" spans="1:8" ht="16.5" customHeight="1" x14ac:dyDescent="0.2">
      <c r="A135" s="12" t="str">
        <f>IF(AND(ISNUMBER(H134),H134&gt;0),120,"")</f>
        <v/>
      </c>
      <c r="B135" s="13" t="str">
        <f>IF(AND(ISNUMBER(H134),H134&gt;0),EDATE($C$10,120),"")</f>
        <v/>
      </c>
      <c r="C135" s="14" t="str">
        <f t="shared" si="5"/>
        <v/>
      </c>
      <c r="D135" s="15" t="str">
        <f t="shared" si="6"/>
        <v/>
      </c>
      <c r="E135" s="16" t="str">
        <f t="shared" si="7"/>
        <v/>
      </c>
      <c r="F135" s="27" t="str">
        <f t="shared" si="8"/>
        <v/>
      </c>
      <c r="G135" s="21"/>
      <c r="H135" s="17" t="str">
        <f t="shared" si="9"/>
        <v/>
      </c>
    </row>
    <row r="136" spans="1:8" ht="16.5" customHeight="1" x14ac:dyDescent="0.2">
      <c r="A136" s="6" t="str">
        <f>IF(AND(ISNUMBER(H135),H135&gt;0),121,"")</f>
        <v/>
      </c>
      <c r="B136" s="7" t="str">
        <f>IF(AND(ISNUMBER(H135),H135&gt;0),EDATE($C$10,121),"")</f>
        <v/>
      </c>
      <c r="C136" s="8" t="str">
        <f t="shared" si="5"/>
        <v/>
      </c>
      <c r="D136" s="9" t="str">
        <f t="shared" si="6"/>
        <v/>
      </c>
      <c r="E136" s="10" t="str">
        <f t="shared" si="7"/>
        <v/>
      </c>
      <c r="F136" s="26" t="str">
        <f t="shared" si="8"/>
        <v/>
      </c>
      <c r="G136" s="21"/>
      <c r="H136" s="11" t="str">
        <f t="shared" si="9"/>
        <v/>
      </c>
    </row>
    <row r="137" spans="1:8" ht="16.5" customHeight="1" x14ac:dyDescent="0.2">
      <c r="A137" s="12" t="str">
        <f>IF(AND(ISNUMBER(H136),H136&gt;0),122,"")</f>
        <v/>
      </c>
      <c r="B137" s="13" t="str">
        <f>IF(AND(ISNUMBER(H136),H136&gt;0),EDATE($C$10,122),"")</f>
        <v/>
      </c>
      <c r="C137" s="14" t="str">
        <f t="shared" si="5"/>
        <v/>
      </c>
      <c r="D137" s="15" t="str">
        <f t="shared" si="6"/>
        <v/>
      </c>
      <c r="E137" s="16" t="str">
        <f t="shared" si="7"/>
        <v/>
      </c>
      <c r="F137" s="27" t="str">
        <f t="shared" si="8"/>
        <v/>
      </c>
      <c r="G137" s="21"/>
      <c r="H137" s="17" t="str">
        <f t="shared" si="9"/>
        <v/>
      </c>
    </row>
    <row r="138" spans="1:8" ht="16.5" customHeight="1" x14ac:dyDescent="0.2">
      <c r="A138" s="6" t="str">
        <f>IF(AND(ISNUMBER(H137),H137&gt;0),123,"")</f>
        <v/>
      </c>
      <c r="B138" s="7" t="str">
        <f>IF(AND(ISNUMBER(H137),H137&gt;0),EDATE($C$10,123),"")</f>
        <v/>
      </c>
      <c r="C138" s="8" t="str">
        <f t="shared" si="5"/>
        <v/>
      </c>
      <c r="D138" s="9" t="str">
        <f t="shared" si="6"/>
        <v/>
      </c>
      <c r="E138" s="10" t="str">
        <f t="shared" si="7"/>
        <v/>
      </c>
      <c r="F138" s="26" t="str">
        <f t="shared" si="8"/>
        <v/>
      </c>
      <c r="G138" s="21"/>
      <c r="H138" s="11" t="str">
        <f t="shared" si="9"/>
        <v/>
      </c>
    </row>
    <row r="139" spans="1:8" ht="16.5" customHeight="1" x14ac:dyDescent="0.2">
      <c r="A139" s="12" t="str">
        <f>IF(AND(ISNUMBER(H138),H138&gt;0),124,"")</f>
        <v/>
      </c>
      <c r="B139" s="13" t="str">
        <f>IF(AND(ISNUMBER(H138),H138&gt;0),EDATE($C$10,124),"")</f>
        <v/>
      </c>
      <c r="C139" s="14" t="str">
        <f t="shared" si="5"/>
        <v/>
      </c>
      <c r="D139" s="15" t="str">
        <f t="shared" si="6"/>
        <v/>
      </c>
      <c r="E139" s="16" t="str">
        <f t="shared" si="7"/>
        <v/>
      </c>
      <c r="F139" s="27" t="str">
        <f t="shared" si="8"/>
        <v/>
      </c>
      <c r="G139" s="21"/>
      <c r="H139" s="17" t="str">
        <f t="shared" si="9"/>
        <v/>
      </c>
    </row>
    <row r="140" spans="1:8" ht="16.5" customHeight="1" x14ac:dyDescent="0.2">
      <c r="A140" s="6" t="str">
        <f>IF(AND(ISNUMBER(H139),H139&gt;0),125,"")</f>
        <v/>
      </c>
      <c r="B140" s="7" t="str">
        <f>IF(AND(ISNUMBER(H139),H139&gt;0),EDATE($C$10,125),"")</f>
        <v/>
      </c>
      <c r="C140" s="8" t="str">
        <f t="shared" si="5"/>
        <v/>
      </c>
      <c r="D140" s="9" t="str">
        <f t="shared" si="6"/>
        <v/>
      </c>
      <c r="E140" s="10" t="str">
        <f t="shared" si="7"/>
        <v/>
      </c>
      <c r="F140" s="26" t="str">
        <f t="shared" si="8"/>
        <v/>
      </c>
      <c r="G140" s="21"/>
      <c r="H140" s="11" t="str">
        <f t="shared" si="9"/>
        <v/>
      </c>
    </row>
    <row r="141" spans="1:8" ht="16.5" customHeight="1" x14ac:dyDescent="0.2">
      <c r="A141" s="12" t="str">
        <f>IF(AND(ISNUMBER(H140),H140&gt;0),126,"")</f>
        <v/>
      </c>
      <c r="B141" s="13" t="str">
        <f>IF(AND(ISNUMBER(H140),H140&gt;0),EDATE($C$10,126),"")</f>
        <v/>
      </c>
      <c r="C141" s="14" t="str">
        <f t="shared" si="5"/>
        <v/>
      </c>
      <c r="D141" s="15" t="str">
        <f t="shared" si="6"/>
        <v/>
      </c>
      <c r="E141" s="16" t="str">
        <f t="shared" si="7"/>
        <v/>
      </c>
      <c r="F141" s="27" t="str">
        <f t="shared" si="8"/>
        <v/>
      </c>
      <c r="G141" s="21"/>
      <c r="H141" s="17" t="str">
        <f t="shared" si="9"/>
        <v/>
      </c>
    </row>
    <row r="142" spans="1:8" ht="16.5" customHeight="1" x14ac:dyDescent="0.2">
      <c r="A142" s="6" t="str">
        <f>IF(AND(ISNUMBER(H141),H141&gt;0),127,"")</f>
        <v/>
      </c>
      <c r="B142" s="7" t="str">
        <f>IF(AND(ISNUMBER(H141),H141&gt;0),EDATE($C$10,127),"")</f>
        <v/>
      </c>
      <c r="C142" s="8" t="str">
        <f t="shared" si="5"/>
        <v/>
      </c>
      <c r="D142" s="9" t="str">
        <f t="shared" si="6"/>
        <v/>
      </c>
      <c r="E142" s="10" t="str">
        <f t="shared" si="7"/>
        <v/>
      </c>
      <c r="F142" s="26" t="str">
        <f t="shared" si="8"/>
        <v/>
      </c>
      <c r="G142" s="21"/>
      <c r="H142" s="11" t="str">
        <f t="shared" si="9"/>
        <v/>
      </c>
    </row>
    <row r="143" spans="1:8" ht="16.5" customHeight="1" x14ac:dyDescent="0.2">
      <c r="A143" s="12" t="str">
        <f>IF(AND(ISNUMBER(H142),H142&gt;0),128,"")</f>
        <v/>
      </c>
      <c r="B143" s="13" t="str">
        <f>IF(AND(ISNUMBER(H142),H142&gt;0),EDATE($C$10,128),"")</f>
        <v/>
      </c>
      <c r="C143" s="14" t="str">
        <f t="shared" si="5"/>
        <v/>
      </c>
      <c r="D143" s="15" t="str">
        <f t="shared" si="6"/>
        <v/>
      </c>
      <c r="E143" s="16" t="str">
        <f t="shared" si="7"/>
        <v/>
      </c>
      <c r="F143" s="27" t="str">
        <f t="shared" si="8"/>
        <v/>
      </c>
      <c r="G143" s="21"/>
      <c r="H143" s="17" t="str">
        <f t="shared" si="9"/>
        <v/>
      </c>
    </row>
    <row r="144" spans="1:8" ht="16.5" customHeight="1" x14ac:dyDescent="0.2">
      <c r="A144" s="6" t="str">
        <f>IF(AND(ISNUMBER(H143),H143&gt;0),129,"")</f>
        <v/>
      </c>
      <c r="B144" s="7" t="str">
        <f>IF(AND(ISNUMBER(H143),H143&gt;0),EDATE($C$10,129),"")</f>
        <v/>
      </c>
      <c r="C144" s="8" t="str">
        <f t="shared" si="5"/>
        <v/>
      </c>
      <c r="D144" s="9" t="str">
        <f t="shared" si="6"/>
        <v/>
      </c>
      <c r="E144" s="10" t="str">
        <f t="shared" si="7"/>
        <v/>
      </c>
      <c r="F144" s="26" t="str">
        <f t="shared" si="8"/>
        <v/>
      </c>
      <c r="G144" s="21"/>
      <c r="H144" s="11" t="str">
        <f t="shared" si="9"/>
        <v/>
      </c>
    </row>
    <row r="145" spans="1:8" ht="16.5" customHeight="1" x14ac:dyDescent="0.2">
      <c r="A145" s="12" t="str">
        <f>IF(AND(ISNUMBER(H144),H144&gt;0),130,"")</f>
        <v/>
      </c>
      <c r="B145" s="13" t="str">
        <f>IF(AND(ISNUMBER(H144),H144&gt;0),EDATE($C$10,130),"")</f>
        <v/>
      </c>
      <c r="C145" s="14" t="str">
        <f t="shared" ref="C145:C208" si="10">IF(AND(ISNUMBER(H144),H144&gt;0),H144,"")</f>
        <v/>
      </c>
      <c r="D145" s="15" t="str">
        <f t="shared" ref="D145:D208" si="11">IFERROR(IF(AND(ISNUMBER(H144),H144&gt;0),ROUND(C145*$C$8/12,2),""),"")</f>
        <v/>
      </c>
      <c r="E145" s="16" t="str">
        <f t="shared" ref="E145:E208" si="12">IFERROR(IF(AND(ISNUMBER(H144),H144&gt;0),C145-H145,""),"")</f>
        <v/>
      </c>
      <c r="F145" s="27" t="str">
        <f t="shared" ref="F145:F208" si="13">IFERROR(IF(AND(ISNUMBER(H144),H144&gt;0),MIN($C$9,C145+D145),""),"")</f>
        <v/>
      </c>
      <c r="G145" s="21"/>
      <c r="H145" s="17" t="str">
        <f t="shared" ref="H145:H208" si="14">IFERROR(IF(AND(ISNUMBER(H144),H144&gt;0),MAX(0,C145+D145-F145-IFERROR(G145*1,0)),""),"")</f>
        <v/>
      </c>
    </row>
    <row r="146" spans="1:8" ht="16.5" customHeight="1" x14ac:dyDescent="0.2">
      <c r="A146" s="6" t="str">
        <f>IF(AND(ISNUMBER(H145),H145&gt;0),131,"")</f>
        <v/>
      </c>
      <c r="B146" s="7" t="str">
        <f>IF(AND(ISNUMBER(H145),H145&gt;0),EDATE($C$10,131),"")</f>
        <v/>
      </c>
      <c r="C146" s="8" t="str">
        <f t="shared" si="10"/>
        <v/>
      </c>
      <c r="D146" s="9" t="str">
        <f t="shared" si="11"/>
        <v/>
      </c>
      <c r="E146" s="10" t="str">
        <f t="shared" si="12"/>
        <v/>
      </c>
      <c r="F146" s="26" t="str">
        <f t="shared" si="13"/>
        <v/>
      </c>
      <c r="G146" s="21"/>
      <c r="H146" s="11" t="str">
        <f t="shared" si="14"/>
        <v/>
      </c>
    </row>
    <row r="147" spans="1:8" ht="16.5" customHeight="1" x14ac:dyDescent="0.2">
      <c r="A147" s="12" t="str">
        <f>IF(AND(ISNUMBER(H146),H146&gt;0),132,"")</f>
        <v/>
      </c>
      <c r="B147" s="13" t="str">
        <f>IF(AND(ISNUMBER(H146),H146&gt;0),EDATE($C$10,132),"")</f>
        <v/>
      </c>
      <c r="C147" s="14" t="str">
        <f t="shared" si="10"/>
        <v/>
      </c>
      <c r="D147" s="15" t="str">
        <f t="shared" si="11"/>
        <v/>
      </c>
      <c r="E147" s="16" t="str">
        <f t="shared" si="12"/>
        <v/>
      </c>
      <c r="F147" s="27" t="str">
        <f t="shared" si="13"/>
        <v/>
      </c>
      <c r="G147" s="21"/>
      <c r="H147" s="17" t="str">
        <f t="shared" si="14"/>
        <v/>
      </c>
    </row>
    <row r="148" spans="1:8" ht="16.5" customHeight="1" x14ac:dyDescent="0.2">
      <c r="A148" s="6" t="str">
        <f>IF(AND(ISNUMBER(H147),H147&gt;0),133,"")</f>
        <v/>
      </c>
      <c r="B148" s="7" t="str">
        <f>IF(AND(ISNUMBER(H147),H147&gt;0),EDATE($C$10,133),"")</f>
        <v/>
      </c>
      <c r="C148" s="8" t="str">
        <f t="shared" si="10"/>
        <v/>
      </c>
      <c r="D148" s="9" t="str">
        <f t="shared" si="11"/>
        <v/>
      </c>
      <c r="E148" s="10" t="str">
        <f t="shared" si="12"/>
        <v/>
      </c>
      <c r="F148" s="26" t="str">
        <f t="shared" si="13"/>
        <v/>
      </c>
      <c r="G148" s="21"/>
      <c r="H148" s="11" t="str">
        <f t="shared" si="14"/>
        <v/>
      </c>
    </row>
    <row r="149" spans="1:8" ht="16.5" customHeight="1" x14ac:dyDescent="0.2">
      <c r="A149" s="12" t="str">
        <f>IF(AND(ISNUMBER(H148),H148&gt;0),134,"")</f>
        <v/>
      </c>
      <c r="B149" s="13" t="str">
        <f>IF(AND(ISNUMBER(H148),H148&gt;0),EDATE($C$10,134),"")</f>
        <v/>
      </c>
      <c r="C149" s="14" t="str">
        <f t="shared" si="10"/>
        <v/>
      </c>
      <c r="D149" s="15" t="str">
        <f t="shared" si="11"/>
        <v/>
      </c>
      <c r="E149" s="16" t="str">
        <f t="shared" si="12"/>
        <v/>
      </c>
      <c r="F149" s="27" t="str">
        <f t="shared" si="13"/>
        <v/>
      </c>
      <c r="G149" s="21"/>
      <c r="H149" s="17" t="str">
        <f t="shared" si="14"/>
        <v/>
      </c>
    </row>
    <row r="150" spans="1:8" ht="16.5" customHeight="1" x14ac:dyDescent="0.2">
      <c r="A150" s="6" t="str">
        <f>IF(AND(ISNUMBER(H149),H149&gt;0),135,"")</f>
        <v/>
      </c>
      <c r="B150" s="7" t="str">
        <f>IF(AND(ISNUMBER(H149),H149&gt;0),EDATE($C$10,135),"")</f>
        <v/>
      </c>
      <c r="C150" s="8" t="str">
        <f t="shared" si="10"/>
        <v/>
      </c>
      <c r="D150" s="9" t="str">
        <f t="shared" si="11"/>
        <v/>
      </c>
      <c r="E150" s="10" t="str">
        <f t="shared" si="12"/>
        <v/>
      </c>
      <c r="F150" s="26" t="str">
        <f t="shared" si="13"/>
        <v/>
      </c>
      <c r="G150" s="21"/>
      <c r="H150" s="11" t="str">
        <f t="shared" si="14"/>
        <v/>
      </c>
    </row>
    <row r="151" spans="1:8" ht="16.5" customHeight="1" x14ac:dyDescent="0.2">
      <c r="A151" s="12" t="str">
        <f>IF(AND(ISNUMBER(H150),H150&gt;0),136,"")</f>
        <v/>
      </c>
      <c r="B151" s="13" t="str">
        <f>IF(AND(ISNUMBER(H150),H150&gt;0),EDATE($C$10,136),"")</f>
        <v/>
      </c>
      <c r="C151" s="14" t="str">
        <f t="shared" si="10"/>
        <v/>
      </c>
      <c r="D151" s="15" t="str">
        <f t="shared" si="11"/>
        <v/>
      </c>
      <c r="E151" s="16" t="str">
        <f t="shared" si="12"/>
        <v/>
      </c>
      <c r="F151" s="27" t="str">
        <f t="shared" si="13"/>
        <v/>
      </c>
      <c r="G151" s="21"/>
      <c r="H151" s="17" t="str">
        <f t="shared" si="14"/>
        <v/>
      </c>
    </row>
    <row r="152" spans="1:8" ht="16.5" customHeight="1" x14ac:dyDescent="0.2">
      <c r="A152" s="6" t="str">
        <f>IF(AND(ISNUMBER(H151),H151&gt;0),137,"")</f>
        <v/>
      </c>
      <c r="B152" s="7" t="str">
        <f>IF(AND(ISNUMBER(H151),H151&gt;0),EDATE($C$10,137),"")</f>
        <v/>
      </c>
      <c r="C152" s="8" t="str">
        <f t="shared" si="10"/>
        <v/>
      </c>
      <c r="D152" s="9" t="str">
        <f t="shared" si="11"/>
        <v/>
      </c>
      <c r="E152" s="10" t="str">
        <f t="shared" si="12"/>
        <v/>
      </c>
      <c r="F152" s="26" t="str">
        <f t="shared" si="13"/>
        <v/>
      </c>
      <c r="G152" s="21"/>
      <c r="H152" s="11" t="str">
        <f t="shared" si="14"/>
        <v/>
      </c>
    </row>
    <row r="153" spans="1:8" ht="16.5" customHeight="1" x14ac:dyDescent="0.2">
      <c r="A153" s="12" t="str">
        <f>IF(AND(ISNUMBER(H152),H152&gt;0),138,"")</f>
        <v/>
      </c>
      <c r="B153" s="13" t="str">
        <f>IF(AND(ISNUMBER(H152),H152&gt;0),EDATE($C$10,138),"")</f>
        <v/>
      </c>
      <c r="C153" s="14" t="str">
        <f t="shared" si="10"/>
        <v/>
      </c>
      <c r="D153" s="15" t="str">
        <f t="shared" si="11"/>
        <v/>
      </c>
      <c r="E153" s="16" t="str">
        <f t="shared" si="12"/>
        <v/>
      </c>
      <c r="F153" s="27" t="str">
        <f t="shared" si="13"/>
        <v/>
      </c>
      <c r="G153" s="21"/>
      <c r="H153" s="17" t="str">
        <f t="shared" si="14"/>
        <v/>
      </c>
    </row>
    <row r="154" spans="1:8" ht="16.5" customHeight="1" x14ac:dyDescent="0.2">
      <c r="A154" s="6" t="str">
        <f>IF(AND(ISNUMBER(H153),H153&gt;0),139,"")</f>
        <v/>
      </c>
      <c r="B154" s="7" t="str">
        <f>IF(AND(ISNUMBER(H153),H153&gt;0),EDATE($C$10,139),"")</f>
        <v/>
      </c>
      <c r="C154" s="8" t="str">
        <f t="shared" si="10"/>
        <v/>
      </c>
      <c r="D154" s="9" t="str">
        <f t="shared" si="11"/>
        <v/>
      </c>
      <c r="E154" s="10" t="str">
        <f t="shared" si="12"/>
        <v/>
      </c>
      <c r="F154" s="26" t="str">
        <f t="shared" si="13"/>
        <v/>
      </c>
      <c r="G154" s="21"/>
      <c r="H154" s="11" t="str">
        <f t="shared" si="14"/>
        <v/>
      </c>
    </row>
    <row r="155" spans="1:8" ht="16.5" customHeight="1" x14ac:dyDescent="0.2">
      <c r="A155" s="12" t="str">
        <f>IF(AND(ISNUMBER(H154),H154&gt;0),140,"")</f>
        <v/>
      </c>
      <c r="B155" s="13" t="str">
        <f>IF(AND(ISNUMBER(H154),H154&gt;0),EDATE($C$10,140),"")</f>
        <v/>
      </c>
      <c r="C155" s="14" t="str">
        <f t="shared" si="10"/>
        <v/>
      </c>
      <c r="D155" s="15" t="str">
        <f t="shared" si="11"/>
        <v/>
      </c>
      <c r="E155" s="16" t="str">
        <f t="shared" si="12"/>
        <v/>
      </c>
      <c r="F155" s="27" t="str">
        <f t="shared" si="13"/>
        <v/>
      </c>
      <c r="G155" s="21"/>
      <c r="H155" s="17" t="str">
        <f t="shared" si="14"/>
        <v/>
      </c>
    </row>
    <row r="156" spans="1:8" ht="16.5" customHeight="1" x14ac:dyDescent="0.2">
      <c r="A156" s="6" t="str">
        <f>IF(AND(ISNUMBER(H155),H155&gt;0),141,"")</f>
        <v/>
      </c>
      <c r="B156" s="7" t="str">
        <f>IF(AND(ISNUMBER(H155),H155&gt;0),EDATE($C$10,141),"")</f>
        <v/>
      </c>
      <c r="C156" s="8" t="str">
        <f t="shared" si="10"/>
        <v/>
      </c>
      <c r="D156" s="9" t="str">
        <f t="shared" si="11"/>
        <v/>
      </c>
      <c r="E156" s="10" t="str">
        <f t="shared" si="12"/>
        <v/>
      </c>
      <c r="F156" s="26" t="str">
        <f t="shared" si="13"/>
        <v/>
      </c>
      <c r="G156" s="21"/>
      <c r="H156" s="11" t="str">
        <f t="shared" si="14"/>
        <v/>
      </c>
    </row>
    <row r="157" spans="1:8" ht="16.5" customHeight="1" x14ac:dyDescent="0.2">
      <c r="A157" s="12" t="str">
        <f>IF(AND(ISNUMBER(H156),H156&gt;0),142,"")</f>
        <v/>
      </c>
      <c r="B157" s="13" t="str">
        <f>IF(AND(ISNUMBER(H156),H156&gt;0),EDATE($C$10,142),"")</f>
        <v/>
      </c>
      <c r="C157" s="14" t="str">
        <f t="shared" si="10"/>
        <v/>
      </c>
      <c r="D157" s="15" t="str">
        <f t="shared" si="11"/>
        <v/>
      </c>
      <c r="E157" s="16" t="str">
        <f t="shared" si="12"/>
        <v/>
      </c>
      <c r="F157" s="27" t="str">
        <f t="shared" si="13"/>
        <v/>
      </c>
      <c r="G157" s="21"/>
      <c r="H157" s="17" t="str">
        <f t="shared" si="14"/>
        <v/>
      </c>
    </row>
    <row r="158" spans="1:8" ht="16.5" customHeight="1" x14ac:dyDescent="0.2">
      <c r="A158" s="6" t="str">
        <f>IF(AND(ISNUMBER(H157),H157&gt;0),143,"")</f>
        <v/>
      </c>
      <c r="B158" s="7" t="str">
        <f>IF(AND(ISNUMBER(H157),H157&gt;0),EDATE($C$10,143),"")</f>
        <v/>
      </c>
      <c r="C158" s="8" t="str">
        <f t="shared" si="10"/>
        <v/>
      </c>
      <c r="D158" s="9" t="str">
        <f t="shared" si="11"/>
        <v/>
      </c>
      <c r="E158" s="10" t="str">
        <f t="shared" si="12"/>
        <v/>
      </c>
      <c r="F158" s="26" t="str">
        <f t="shared" si="13"/>
        <v/>
      </c>
      <c r="G158" s="21"/>
      <c r="H158" s="11" t="str">
        <f t="shared" si="14"/>
        <v/>
      </c>
    </row>
    <row r="159" spans="1:8" ht="16.5" customHeight="1" x14ac:dyDescent="0.2">
      <c r="A159" s="12" t="str">
        <f>IF(AND(ISNUMBER(H158),H158&gt;0),144,"")</f>
        <v/>
      </c>
      <c r="B159" s="13" t="str">
        <f>IF(AND(ISNUMBER(H158),H158&gt;0),EDATE($C$10,144),"")</f>
        <v/>
      </c>
      <c r="C159" s="14" t="str">
        <f t="shared" si="10"/>
        <v/>
      </c>
      <c r="D159" s="15" t="str">
        <f t="shared" si="11"/>
        <v/>
      </c>
      <c r="E159" s="16" t="str">
        <f t="shared" si="12"/>
        <v/>
      </c>
      <c r="F159" s="27" t="str">
        <f t="shared" si="13"/>
        <v/>
      </c>
      <c r="G159" s="21"/>
      <c r="H159" s="17" t="str">
        <f t="shared" si="14"/>
        <v/>
      </c>
    </row>
    <row r="160" spans="1:8" ht="16.5" customHeight="1" x14ac:dyDescent="0.2">
      <c r="A160" s="6" t="str">
        <f>IF(AND(ISNUMBER(H159),H159&gt;0),145,"")</f>
        <v/>
      </c>
      <c r="B160" s="7" t="str">
        <f>IF(AND(ISNUMBER(H159),H159&gt;0),EDATE($C$10,145),"")</f>
        <v/>
      </c>
      <c r="C160" s="8" t="str">
        <f t="shared" si="10"/>
        <v/>
      </c>
      <c r="D160" s="9" t="str">
        <f t="shared" si="11"/>
        <v/>
      </c>
      <c r="E160" s="10" t="str">
        <f t="shared" si="12"/>
        <v/>
      </c>
      <c r="F160" s="26" t="str">
        <f t="shared" si="13"/>
        <v/>
      </c>
      <c r="G160" s="21"/>
      <c r="H160" s="11" t="str">
        <f t="shared" si="14"/>
        <v/>
      </c>
    </row>
    <row r="161" spans="1:8" ht="16.5" customHeight="1" x14ac:dyDescent="0.2">
      <c r="A161" s="12" t="str">
        <f>IF(AND(ISNUMBER(H160),H160&gt;0),146,"")</f>
        <v/>
      </c>
      <c r="B161" s="13" t="str">
        <f>IF(AND(ISNUMBER(H160),H160&gt;0),EDATE($C$10,146),"")</f>
        <v/>
      </c>
      <c r="C161" s="14" t="str">
        <f t="shared" si="10"/>
        <v/>
      </c>
      <c r="D161" s="15" t="str">
        <f t="shared" si="11"/>
        <v/>
      </c>
      <c r="E161" s="16" t="str">
        <f t="shared" si="12"/>
        <v/>
      </c>
      <c r="F161" s="27" t="str">
        <f t="shared" si="13"/>
        <v/>
      </c>
      <c r="G161" s="21"/>
      <c r="H161" s="17" t="str">
        <f t="shared" si="14"/>
        <v/>
      </c>
    </row>
    <row r="162" spans="1:8" ht="16.5" customHeight="1" x14ac:dyDescent="0.2">
      <c r="A162" s="6" t="str">
        <f>IF(AND(ISNUMBER(H161),H161&gt;0),147,"")</f>
        <v/>
      </c>
      <c r="B162" s="7" t="str">
        <f>IF(AND(ISNUMBER(H161),H161&gt;0),EDATE($C$10,147),"")</f>
        <v/>
      </c>
      <c r="C162" s="8" t="str">
        <f t="shared" si="10"/>
        <v/>
      </c>
      <c r="D162" s="9" t="str">
        <f t="shared" si="11"/>
        <v/>
      </c>
      <c r="E162" s="10" t="str">
        <f t="shared" si="12"/>
        <v/>
      </c>
      <c r="F162" s="26" t="str">
        <f t="shared" si="13"/>
        <v/>
      </c>
      <c r="G162" s="21"/>
      <c r="H162" s="11" t="str">
        <f t="shared" si="14"/>
        <v/>
      </c>
    </row>
    <row r="163" spans="1:8" ht="16.5" customHeight="1" x14ac:dyDescent="0.2">
      <c r="A163" s="12" t="str">
        <f>IF(AND(ISNUMBER(H162),H162&gt;0),148,"")</f>
        <v/>
      </c>
      <c r="B163" s="13" t="str">
        <f>IF(AND(ISNUMBER(H162),H162&gt;0),EDATE($C$10,148),"")</f>
        <v/>
      </c>
      <c r="C163" s="14" t="str">
        <f t="shared" si="10"/>
        <v/>
      </c>
      <c r="D163" s="15" t="str">
        <f t="shared" si="11"/>
        <v/>
      </c>
      <c r="E163" s="16" t="str">
        <f t="shared" si="12"/>
        <v/>
      </c>
      <c r="F163" s="27" t="str">
        <f t="shared" si="13"/>
        <v/>
      </c>
      <c r="G163" s="21"/>
      <c r="H163" s="17" t="str">
        <f t="shared" si="14"/>
        <v/>
      </c>
    </row>
    <row r="164" spans="1:8" ht="16.5" customHeight="1" x14ac:dyDescent="0.2">
      <c r="A164" s="6" t="str">
        <f>IF(AND(ISNUMBER(H163),H163&gt;0),149,"")</f>
        <v/>
      </c>
      <c r="B164" s="7" t="str">
        <f>IF(AND(ISNUMBER(H163),H163&gt;0),EDATE($C$10,149),"")</f>
        <v/>
      </c>
      <c r="C164" s="8" t="str">
        <f t="shared" si="10"/>
        <v/>
      </c>
      <c r="D164" s="9" t="str">
        <f t="shared" si="11"/>
        <v/>
      </c>
      <c r="E164" s="10" t="str">
        <f t="shared" si="12"/>
        <v/>
      </c>
      <c r="F164" s="26" t="str">
        <f t="shared" si="13"/>
        <v/>
      </c>
      <c r="G164" s="21"/>
      <c r="H164" s="11" t="str">
        <f t="shared" si="14"/>
        <v/>
      </c>
    </row>
    <row r="165" spans="1:8" ht="16.5" customHeight="1" x14ac:dyDescent="0.2">
      <c r="A165" s="12" t="str">
        <f>IF(AND(ISNUMBER(H164),H164&gt;0),150,"")</f>
        <v/>
      </c>
      <c r="B165" s="13" t="str">
        <f>IF(AND(ISNUMBER(H164),H164&gt;0),EDATE($C$10,150),"")</f>
        <v/>
      </c>
      <c r="C165" s="14" t="str">
        <f t="shared" si="10"/>
        <v/>
      </c>
      <c r="D165" s="15" t="str">
        <f t="shared" si="11"/>
        <v/>
      </c>
      <c r="E165" s="16" t="str">
        <f t="shared" si="12"/>
        <v/>
      </c>
      <c r="F165" s="27" t="str">
        <f t="shared" si="13"/>
        <v/>
      </c>
      <c r="G165" s="21"/>
      <c r="H165" s="17" t="str">
        <f t="shared" si="14"/>
        <v/>
      </c>
    </row>
    <row r="166" spans="1:8" ht="16.5" customHeight="1" x14ac:dyDescent="0.2">
      <c r="A166" s="6" t="str">
        <f>IF(AND(ISNUMBER(H165),H165&gt;0),151,"")</f>
        <v/>
      </c>
      <c r="B166" s="7" t="str">
        <f>IF(AND(ISNUMBER(H165),H165&gt;0),EDATE($C$10,151),"")</f>
        <v/>
      </c>
      <c r="C166" s="8" t="str">
        <f t="shared" si="10"/>
        <v/>
      </c>
      <c r="D166" s="9" t="str">
        <f t="shared" si="11"/>
        <v/>
      </c>
      <c r="E166" s="10" t="str">
        <f t="shared" si="12"/>
        <v/>
      </c>
      <c r="F166" s="26" t="str">
        <f t="shared" si="13"/>
        <v/>
      </c>
      <c r="G166" s="21"/>
      <c r="H166" s="11" t="str">
        <f t="shared" si="14"/>
        <v/>
      </c>
    </row>
    <row r="167" spans="1:8" ht="16.5" customHeight="1" x14ac:dyDescent="0.2">
      <c r="A167" s="12" t="str">
        <f>IF(AND(ISNUMBER(H166),H166&gt;0),152,"")</f>
        <v/>
      </c>
      <c r="B167" s="13" t="str">
        <f>IF(AND(ISNUMBER(H166),H166&gt;0),EDATE($C$10,152),"")</f>
        <v/>
      </c>
      <c r="C167" s="14" t="str">
        <f t="shared" si="10"/>
        <v/>
      </c>
      <c r="D167" s="15" t="str">
        <f t="shared" si="11"/>
        <v/>
      </c>
      <c r="E167" s="16" t="str">
        <f t="shared" si="12"/>
        <v/>
      </c>
      <c r="F167" s="27" t="str">
        <f t="shared" si="13"/>
        <v/>
      </c>
      <c r="G167" s="21"/>
      <c r="H167" s="17" t="str">
        <f t="shared" si="14"/>
        <v/>
      </c>
    </row>
    <row r="168" spans="1:8" ht="16.5" customHeight="1" x14ac:dyDescent="0.2">
      <c r="A168" s="6" t="str">
        <f>IF(AND(ISNUMBER(H167),H167&gt;0),153,"")</f>
        <v/>
      </c>
      <c r="B168" s="7" t="str">
        <f>IF(AND(ISNUMBER(H167),H167&gt;0),EDATE($C$10,153),"")</f>
        <v/>
      </c>
      <c r="C168" s="8" t="str">
        <f t="shared" si="10"/>
        <v/>
      </c>
      <c r="D168" s="9" t="str">
        <f t="shared" si="11"/>
        <v/>
      </c>
      <c r="E168" s="10" t="str">
        <f t="shared" si="12"/>
        <v/>
      </c>
      <c r="F168" s="26" t="str">
        <f t="shared" si="13"/>
        <v/>
      </c>
      <c r="G168" s="21"/>
      <c r="H168" s="11" t="str">
        <f t="shared" si="14"/>
        <v/>
      </c>
    </row>
    <row r="169" spans="1:8" ht="16.5" customHeight="1" x14ac:dyDescent="0.2">
      <c r="A169" s="12" t="str">
        <f>IF(AND(ISNUMBER(H168),H168&gt;0),154,"")</f>
        <v/>
      </c>
      <c r="B169" s="13" t="str">
        <f>IF(AND(ISNUMBER(H168),H168&gt;0),EDATE($C$10,154),"")</f>
        <v/>
      </c>
      <c r="C169" s="14" t="str">
        <f t="shared" si="10"/>
        <v/>
      </c>
      <c r="D169" s="15" t="str">
        <f t="shared" si="11"/>
        <v/>
      </c>
      <c r="E169" s="16" t="str">
        <f t="shared" si="12"/>
        <v/>
      </c>
      <c r="F169" s="27" t="str">
        <f t="shared" si="13"/>
        <v/>
      </c>
      <c r="G169" s="21"/>
      <c r="H169" s="17" t="str">
        <f t="shared" si="14"/>
        <v/>
      </c>
    </row>
    <row r="170" spans="1:8" ht="16.5" customHeight="1" x14ac:dyDescent="0.2">
      <c r="A170" s="6" t="str">
        <f>IF(AND(ISNUMBER(H169),H169&gt;0),155,"")</f>
        <v/>
      </c>
      <c r="B170" s="7" t="str">
        <f>IF(AND(ISNUMBER(H169),H169&gt;0),EDATE($C$10,155),"")</f>
        <v/>
      </c>
      <c r="C170" s="8" t="str">
        <f t="shared" si="10"/>
        <v/>
      </c>
      <c r="D170" s="9" t="str">
        <f t="shared" si="11"/>
        <v/>
      </c>
      <c r="E170" s="10" t="str">
        <f t="shared" si="12"/>
        <v/>
      </c>
      <c r="F170" s="26" t="str">
        <f t="shared" si="13"/>
        <v/>
      </c>
      <c r="G170" s="21"/>
      <c r="H170" s="11" t="str">
        <f t="shared" si="14"/>
        <v/>
      </c>
    </row>
    <row r="171" spans="1:8" ht="16.5" customHeight="1" x14ac:dyDescent="0.2">
      <c r="A171" s="12" t="str">
        <f>IF(AND(ISNUMBER(H170),H170&gt;0),156,"")</f>
        <v/>
      </c>
      <c r="B171" s="13" t="str">
        <f>IF(AND(ISNUMBER(H170),H170&gt;0),EDATE($C$10,156),"")</f>
        <v/>
      </c>
      <c r="C171" s="14" t="str">
        <f t="shared" si="10"/>
        <v/>
      </c>
      <c r="D171" s="15" t="str">
        <f t="shared" si="11"/>
        <v/>
      </c>
      <c r="E171" s="16" t="str">
        <f t="shared" si="12"/>
        <v/>
      </c>
      <c r="F171" s="27" t="str">
        <f t="shared" si="13"/>
        <v/>
      </c>
      <c r="G171" s="21"/>
      <c r="H171" s="17" t="str">
        <f t="shared" si="14"/>
        <v/>
      </c>
    </row>
    <row r="172" spans="1:8" ht="16.5" customHeight="1" x14ac:dyDescent="0.2">
      <c r="A172" s="6" t="str">
        <f>IF(AND(ISNUMBER(H171),H171&gt;0),157,"")</f>
        <v/>
      </c>
      <c r="B172" s="7" t="str">
        <f>IF(AND(ISNUMBER(H171),H171&gt;0),EDATE($C$10,157),"")</f>
        <v/>
      </c>
      <c r="C172" s="8" t="str">
        <f t="shared" si="10"/>
        <v/>
      </c>
      <c r="D172" s="9" t="str">
        <f t="shared" si="11"/>
        <v/>
      </c>
      <c r="E172" s="10" t="str">
        <f t="shared" si="12"/>
        <v/>
      </c>
      <c r="F172" s="26" t="str">
        <f t="shared" si="13"/>
        <v/>
      </c>
      <c r="G172" s="21"/>
      <c r="H172" s="11" t="str">
        <f t="shared" si="14"/>
        <v/>
      </c>
    </row>
    <row r="173" spans="1:8" ht="16.5" customHeight="1" x14ac:dyDescent="0.2">
      <c r="A173" s="12" t="str">
        <f>IF(AND(ISNUMBER(H172),H172&gt;0),158,"")</f>
        <v/>
      </c>
      <c r="B173" s="13" t="str">
        <f>IF(AND(ISNUMBER(H172),H172&gt;0),EDATE($C$10,158),"")</f>
        <v/>
      </c>
      <c r="C173" s="14" t="str">
        <f t="shared" si="10"/>
        <v/>
      </c>
      <c r="D173" s="15" t="str">
        <f t="shared" si="11"/>
        <v/>
      </c>
      <c r="E173" s="16" t="str">
        <f t="shared" si="12"/>
        <v/>
      </c>
      <c r="F173" s="27" t="str">
        <f t="shared" si="13"/>
        <v/>
      </c>
      <c r="G173" s="21"/>
      <c r="H173" s="17" t="str">
        <f t="shared" si="14"/>
        <v/>
      </c>
    </row>
    <row r="174" spans="1:8" ht="16.5" customHeight="1" x14ac:dyDescent="0.2">
      <c r="A174" s="6" t="str">
        <f>IF(AND(ISNUMBER(H173),H173&gt;0),159,"")</f>
        <v/>
      </c>
      <c r="B174" s="7" t="str">
        <f>IF(AND(ISNUMBER(H173),H173&gt;0),EDATE($C$10,159),"")</f>
        <v/>
      </c>
      <c r="C174" s="8" t="str">
        <f t="shared" si="10"/>
        <v/>
      </c>
      <c r="D174" s="9" t="str">
        <f t="shared" si="11"/>
        <v/>
      </c>
      <c r="E174" s="10" t="str">
        <f t="shared" si="12"/>
        <v/>
      </c>
      <c r="F174" s="26" t="str">
        <f t="shared" si="13"/>
        <v/>
      </c>
      <c r="G174" s="21"/>
      <c r="H174" s="11" t="str">
        <f t="shared" si="14"/>
        <v/>
      </c>
    </row>
    <row r="175" spans="1:8" ht="16.5" customHeight="1" x14ac:dyDescent="0.2">
      <c r="A175" s="12" t="str">
        <f>IF(AND(ISNUMBER(H174),H174&gt;0),160,"")</f>
        <v/>
      </c>
      <c r="B175" s="13" t="str">
        <f>IF(AND(ISNUMBER(H174),H174&gt;0),EDATE($C$10,160),"")</f>
        <v/>
      </c>
      <c r="C175" s="14" t="str">
        <f t="shared" si="10"/>
        <v/>
      </c>
      <c r="D175" s="15" t="str">
        <f t="shared" si="11"/>
        <v/>
      </c>
      <c r="E175" s="16" t="str">
        <f t="shared" si="12"/>
        <v/>
      </c>
      <c r="F175" s="27" t="str">
        <f t="shared" si="13"/>
        <v/>
      </c>
      <c r="G175" s="21"/>
      <c r="H175" s="17" t="str">
        <f t="shared" si="14"/>
        <v/>
      </c>
    </row>
    <row r="176" spans="1:8" ht="16.5" customHeight="1" x14ac:dyDescent="0.2">
      <c r="A176" s="6" t="str">
        <f>IF(AND(ISNUMBER(H175),H175&gt;0),161,"")</f>
        <v/>
      </c>
      <c r="B176" s="7" t="str">
        <f>IF(AND(ISNUMBER(H175),H175&gt;0),EDATE($C$10,161),"")</f>
        <v/>
      </c>
      <c r="C176" s="8" t="str">
        <f t="shared" si="10"/>
        <v/>
      </c>
      <c r="D176" s="9" t="str">
        <f t="shared" si="11"/>
        <v/>
      </c>
      <c r="E176" s="10" t="str">
        <f t="shared" si="12"/>
        <v/>
      </c>
      <c r="F176" s="26" t="str">
        <f t="shared" si="13"/>
        <v/>
      </c>
      <c r="G176" s="21"/>
      <c r="H176" s="11" t="str">
        <f t="shared" si="14"/>
        <v/>
      </c>
    </row>
    <row r="177" spans="1:8" ht="16.5" customHeight="1" x14ac:dyDescent="0.2">
      <c r="A177" s="12" t="str">
        <f>IF(AND(ISNUMBER(H176),H176&gt;0),162,"")</f>
        <v/>
      </c>
      <c r="B177" s="13" t="str">
        <f>IF(AND(ISNUMBER(H176),H176&gt;0),EDATE($C$10,162),"")</f>
        <v/>
      </c>
      <c r="C177" s="14" t="str">
        <f t="shared" si="10"/>
        <v/>
      </c>
      <c r="D177" s="15" t="str">
        <f t="shared" si="11"/>
        <v/>
      </c>
      <c r="E177" s="16" t="str">
        <f t="shared" si="12"/>
        <v/>
      </c>
      <c r="F177" s="27" t="str">
        <f t="shared" si="13"/>
        <v/>
      </c>
      <c r="G177" s="21"/>
      <c r="H177" s="17" t="str">
        <f t="shared" si="14"/>
        <v/>
      </c>
    </row>
    <row r="178" spans="1:8" ht="16.5" customHeight="1" x14ac:dyDescent="0.2">
      <c r="A178" s="6" t="str">
        <f>IF(AND(ISNUMBER(H177),H177&gt;0),163,"")</f>
        <v/>
      </c>
      <c r="B178" s="7" t="str">
        <f>IF(AND(ISNUMBER(H177),H177&gt;0),EDATE($C$10,163),"")</f>
        <v/>
      </c>
      <c r="C178" s="8" t="str">
        <f t="shared" si="10"/>
        <v/>
      </c>
      <c r="D178" s="9" t="str">
        <f t="shared" si="11"/>
        <v/>
      </c>
      <c r="E178" s="10" t="str">
        <f t="shared" si="12"/>
        <v/>
      </c>
      <c r="F178" s="26" t="str">
        <f t="shared" si="13"/>
        <v/>
      </c>
      <c r="G178" s="21"/>
      <c r="H178" s="11" t="str">
        <f t="shared" si="14"/>
        <v/>
      </c>
    </row>
    <row r="179" spans="1:8" ht="16.5" customHeight="1" x14ac:dyDescent="0.2">
      <c r="A179" s="12" t="str">
        <f>IF(AND(ISNUMBER(H178),H178&gt;0),164,"")</f>
        <v/>
      </c>
      <c r="B179" s="13" t="str">
        <f>IF(AND(ISNUMBER(H178),H178&gt;0),EDATE($C$10,164),"")</f>
        <v/>
      </c>
      <c r="C179" s="14" t="str">
        <f t="shared" si="10"/>
        <v/>
      </c>
      <c r="D179" s="15" t="str">
        <f t="shared" si="11"/>
        <v/>
      </c>
      <c r="E179" s="16" t="str">
        <f t="shared" si="12"/>
        <v/>
      </c>
      <c r="F179" s="27" t="str">
        <f t="shared" si="13"/>
        <v/>
      </c>
      <c r="G179" s="21"/>
      <c r="H179" s="17" t="str">
        <f t="shared" si="14"/>
        <v/>
      </c>
    </row>
    <row r="180" spans="1:8" ht="16.5" customHeight="1" x14ac:dyDescent="0.2">
      <c r="A180" s="6" t="str">
        <f>IF(AND(ISNUMBER(H179),H179&gt;0),165,"")</f>
        <v/>
      </c>
      <c r="B180" s="7" t="str">
        <f>IF(AND(ISNUMBER(H179),H179&gt;0),EDATE($C$10,165),"")</f>
        <v/>
      </c>
      <c r="C180" s="8" t="str">
        <f t="shared" si="10"/>
        <v/>
      </c>
      <c r="D180" s="9" t="str">
        <f t="shared" si="11"/>
        <v/>
      </c>
      <c r="E180" s="10" t="str">
        <f t="shared" si="12"/>
        <v/>
      </c>
      <c r="F180" s="26" t="str">
        <f t="shared" si="13"/>
        <v/>
      </c>
      <c r="G180" s="21"/>
      <c r="H180" s="11" t="str">
        <f t="shared" si="14"/>
        <v/>
      </c>
    </row>
    <row r="181" spans="1:8" ht="16.5" customHeight="1" x14ac:dyDescent="0.2">
      <c r="A181" s="12" t="str">
        <f>IF(AND(ISNUMBER(H180),H180&gt;0),166,"")</f>
        <v/>
      </c>
      <c r="B181" s="13" t="str">
        <f>IF(AND(ISNUMBER(H180),H180&gt;0),EDATE($C$10,166),"")</f>
        <v/>
      </c>
      <c r="C181" s="14" t="str">
        <f t="shared" si="10"/>
        <v/>
      </c>
      <c r="D181" s="15" t="str">
        <f t="shared" si="11"/>
        <v/>
      </c>
      <c r="E181" s="16" t="str">
        <f t="shared" si="12"/>
        <v/>
      </c>
      <c r="F181" s="27" t="str">
        <f t="shared" si="13"/>
        <v/>
      </c>
      <c r="G181" s="21"/>
      <c r="H181" s="17" t="str">
        <f t="shared" si="14"/>
        <v/>
      </c>
    </row>
    <row r="182" spans="1:8" ht="16.5" customHeight="1" x14ac:dyDescent="0.2">
      <c r="A182" s="6" t="str">
        <f>IF(AND(ISNUMBER(H181),H181&gt;0),167,"")</f>
        <v/>
      </c>
      <c r="B182" s="7" t="str">
        <f>IF(AND(ISNUMBER(H181),H181&gt;0),EDATE($C$10,167),"")</f>
        <v/>
      </c>
      <c r="C182" s="8" t="str">
        <f t="shared" si="10"/>
        <v/>
      </c>
      <c r="D182" s="9" t="str">
        <f t="shared" si="11"/>
        <v/>
      </c>
      <c r="E182" s="10" t="str">
        <f t="shared" si="12"/>
        <v/>
      </c>
      <c r="F182" s="26" t="str">
        <f t="shared" si="13"/>
        <v/>
      </c>
      <c r="G182" s="21"/>
      <c r="H182" s="11" t="str">
        <f t="shared" si="14"/>
        <v/>
      </c>
    </row>
    <row r="183" spans="1:8" ht="16.5" customHeight="1" x14ac:dyDescent="0.2">
      <c r="A183" s="12" t="str">
        <f>IF(AND(ISNUMBER(H182),H182&gt;0),168,"")</f>
        <v/>
      </c>
      <c r="B183" s="13" t="str">
        <f>IF(AND(ISNUMBER(H182),H182&gt;0),EDATE($C$10,168),"")</f>
        <v/>
      </c>
      <c r="C183" s="14" t="str">
        <f t="shared" si="10"/>
        <v/>
      </c>
      <c r="D183" s="15" t="str">
        <f t="shared" si="11"/>
        <v/>
      </c>
      <c r="E183" s="16" t="str">
        <f t="shared" si="12"/>
        <v/>
      </c>
      <c r="F183" s="27" t="str">
        <f t="shared" si="13"/>
        <v/>
      </c>
      <c r="G183" s="21"/>
      <c r="H183" s="17" t="str">
        <f t="shared" si="14"/>
        <v/>
      </c>
    </row>
    <row r="184" spans="1:8" ht="16.5" customHeight="1" x14ac:dyDescent="0.2">
      <c r="A184" s="6" t="str">
        <f>IF(AND(ISNUMBER(H183),H183&gt;0),169,"")</f>
        <v/>
      </c>
      <c r="B184" s="7" t="str">
        <f>IF(AND(ISNUMBER(H183),H183&gt;0),EDATE($C$10,169),"")</f>
        <v/>
      </c>
      <c r="C184" s="8" t="str">
        <f t="shared" si="10"/>
        <v/>
      </c>
      <c r="D184" s="9" t="str">
        <f t="shared" si="11"/>
        <v/>
      </c>
      <c r="E184" s="10" t="str">
        <f t="shared" si="12"/>
        <v/>
      </c>
      <c r="F184" s="26" t="str">
        <f t="shared" si="13"/>
        <v/>
      </c>
      <c r="G184" s="21"/>
      <c r="H184" s="11" t="str">
        <f t="shared" si="14"/>
        <v/>
      </c>
    </row>
    <row r="185" spans="1:8" ht="16.5" customHeight="1" x14ac:dyDescent="0.2">
      <c r="A185" s="12" t="str">
        <f>IF(AND(ISNUMBER(H184),H184&gt;0),170,"")</f>
        <v/>
      </c>
      <c r="B185" s="13" t="str">
        <f>IF(AND(ISNUMBER(H184),H184&gt;0),EDATE($C$10,170),"")</f>
        <v/>
      </c>
      <c r="C185" s="14" t="str">
        <f t="shared" si="10"/>
        <v/>
      </c>
      <c r="D185" s="15" t="str">
        <f t="shared" si="11"/>
        <v/>
      </c>
      <c r="E185" s="16" t="str">
        <f t="shared" si="12"/>
        <v/>
      </c>
      <c r="F185" s="27" t="str">
        <f t="shared" si="13"/>
        <v/>
      </c>
      <c r="G185" s="21"/>
      <c r="H185" s="17" t="str">
        <f t="shared" si="14"/>
        <v/>
      </c>
    </row>
    <row r="186" spans="1:8" ht="16.5" customHeight="1" x14ac:dyDescent="0.2">
      <c r="A186" s="6" t="str">
        <f>IF(AND(ISNUMBER(H185),H185&gt;0),171,"")</f>
        <v/>
      </c>
      <c r="B186" s="7" t="str">
        <f>IF(AND(ISNUMBER(H185),H185&gt;0),EDATE($C$10,171),"")</f>
        <v/>
      </c>
      <c r="C186" s="8" t="str">
        <f t="shared" si="10"/>
        <v/>
      </c>
      <c r="D186" s="9" t="str">
        <f t="shared" si="11"/>
        <v/>
      </c>
      <c r="E186" s="10" t="str">
        <f t="shared" si="12"/>
        <v/>
      </c>
      <c r="F186" s="26" t="str">
        <f t="shared" si="13"/>
        <v/>
      </c>
      <c r="G186" s="21"/>
      <c r="H186" s="11" t="str">
        <f t="shared" si="14"/>
        <v/>
      </c>
    </row>
    <row r="187" spans="1:8" ht="16.5" customHeight="1" x14ac:dyDescent="0.2">
      <c r="A187" s="12" t="str">
        <f>IF(AND(ISNUMBER(H186),H186&gt;0),172,"")</f>
        <v/>
      </c>
      <c r="B187" s="13" t="str">
        <f>IF(AND(ISNUMBER(H186),H186&gt;0),EDATE($C$10,172),"")</f>
        <v/>
      </c>
      <c r="C187" s="14" t="str">
        <f t="shared" si="10"/>
        <v/>
      </c>
      <c r="D187" s="15" t="str">
        <f t="shared" si="11"/>
        <v/>
      </c>
      <c r="E187" s="16" t="str">
        <f t="shared" si="12"/>
        <v/>
      </c>
      <c r="F187" s="27" t="str">
        <f t="shared" si="13"/>
        <v/>
      </c>
      <c r="G187" s="21"/>
      <c r="H187" s="17" t="str">
        <f t="shared" si="14"/>
        <v/>
      </c>
    </row>
    <row r="188" spans="1:8" ht="16.5" customHeight="1" x14ac:dyDescent="0.2">
      <c r="A188" s="6" t="str">
        <f>IF(AND(ISNUMBER(H187),H187&gt;0),173,"")</f>
        <v/>
      </c>
      <c r="B188" s="7" t="str">
        <f>IF(AND(ISNUMBER(H187),H187&gt;0),EDATE($C$10,173),"")</f>
        <v/>
      </c>
      <c r="C188" s="8" t="str">
        <f t="shared" si="10"/>
        <v/>
      </c>
      <c r="D188" s="9" t="str">
        <f t="shared" si="11"/>
        <v/>
      </c>
      <c r="E188" s="10" t="str">
        <f t="shared" si="12"/>
        <v/>
      </c>
      <c r="F188" s="26" t="str">
        <f t="shared" si="13"/>
        <v/>
      </c>
      <c r="G188" s="21"/>
      <c r="H188" s="11" t="str">
        <f t="shared" si="14"/>
        <v/>
      </c>
    </row>
    <row r="189" spans="1:8" ht="16.5" customHeight="1" x14ac:dyDescent="0.2">
      <c r="A189" s="12" t="str">
        <f>IF(AND(ISNUMBER(H188),H188&gt;0),174,"")</f>
        <v/>
      </c>
      <c r="B189" s="13" t="str">
        <f>IF(AND(ISNUMBER(H188),H188&gt;0),EDATE($C$10,174),"")</f>
        <v/>
      </c>
      <c r="C189" s="14" t="str">
        <f t="shared" si="10"/>
        <v/>
      </c>
      <c r="D189" s="15" t="str">
        <f t="shared" si="11"/>
        <v/>
      </c>
      <c r="E189" s="16" t="str">
        <f t="shared" si="12"/>
        <v/>
      </c>
      <c r="F189" s="27" t="str">
        <f t="shared" si="13"/>
        <v/>
      </c>
      <c r="G189" s="21"/>
      <c r="H189" s="17" t="str">
        <f t="shared" si="14"/>
        <v/>
      </c>
    </row>
    <row r="190" spans="1:8" ht="16.5" customHeight="1" x14ac:dyDescent="0.2">
      <c r="A190" s="6" t="str">
        <f>IF(AND(ISNUMBER(H189),H189&gt;0),175,"")</f>
        <v/>
      </c>
      <c r="B190" s="7" t="str">
        <f>IF(AND(ISNUMBER(H189),H189&gt;0),EDATE($C$10,175),"")</f>
        <v/>
      </c>
      <c r="C190" s="8" t="str">
        <f t="shared" si="10"/>
        <v/>
      </c>
      <c r="D190" s="9" t="str">
        <f t="shared" si="11"/>
        <v/>
      </c>
      <c r="E190" s="10" t="str">
        <f t="shared" si="12"/>
        <v/>
      </c>
      <c r="F190" s="26" t="str">
        <f t="shared" si="13"/>
        <v/>
      </c>
      <c r="G190" s="21"/>
      <c r="H190" s="11" t="str">
        <f t="shared" si="14"/>
        <v/>
      </c>
    </row>
    <row r="191" spans="1:8" ht="16.5" customHeight="1" x14ac:dyDescent="0.2">
      <c r="A191" s="12" t="str">
        <f>IF(AND(ISNUMBER(H190),H190&gt;0),176,"")</f>
        <v/>
      </c>
      <c r="B191" s="13" t="str">
        <f>IF(AND(ISNUMBER(H190),H190&gt;0),EDATE($C$10,176),"")</f>
        <v/>
      </c>
      <c r="C191" s="14" t="str">
        <f t="shared" si="10"/>
        <v/>
      </c>
      <c r="D191" s="15" t="str">
        <f t="shared" si="11"/>
        <v/>
      </c>
      <c r="E191" s="16" t="str">
        <f t="shared" si="12"/>
        <v/>
      </c>
      <c r="F191" s="27" t="str">
        <f t="shared" si="13"/>
        <v/>
      </c>
      <c r="G191" s="21"/>
      <c r="H191" s="17" t="str">
        <f t="shared" si="14"/>
        <v/>
      </c>
    </row>
    <row r="192" spans="1:8" ht="16.5" customHeight="1" x14ac:dyDescent="0.2">
      <c r="A192" s="6" t="str">
        <f>IF(AND(ISNUMBER(H191),H191&gt;0),177,"")</f>
        <v/>
      </c>
      <c r="B192" s="7" t="str">
        <f>IF(AND(ISNUMBER(H191),H191&gt;0),EDATE($C$10,177),"")</f>
        <v/>
      </c>
      <c r="C192" s="8" t="str">
        <f t="shared" si="10"/>
        <v/>
      </c>
      <c r="D192" s="9" t="str">
        <f t="shared" si="11"/>
        <v/>
      </c>
      <c r="E192" s="10" t="str">
        <f t="shared" si="12"/>
        <v/>
      </c>
      <c r="F192" s="26" t="str">
        <f t="shared" si="13"/>
        <v/>
      </c>
      <c r="G192" s="21"/>
      <c r="H192" s="11" t="str">
        <f t="shared" si="14"/>
        <v/>
      </c>
    </row>
    <row r="193" spans="1:8" ht="16.5" customHeight="1" x14ac:dyDescent="0.2">
      <c r="A193" s="12" t="str">
        <f>IF(AND(ISNUMBER(H192),H192&gt;0),178,"")</f>
        <v/>
      </c>
      <c r="B193" s="13" t="str">
        <f>IF(AND(ISNUMBER(H192),H192&gt;0),EDATE($C$10,178),"")</f>
        <v/>
      </c>
      <c r="C193" s="14" t="str">
        <f t="shared" si="10"/>
        <v/>
      </c>
      <c r="D193" s="15" t="str">
        <f t="shared" si="11"/>
        <v/>
      </c>
      <c r="E193" s="16" t="str">
        <f t="shared" si="12"/>
        <v/>
      </c>
      <c r="F193" s="27" t="str">
        <f t="shared" si="13"/>
        <v/>
      </c>
      <c r="G193" s="21"/>
      <c r="H193" s="17" t="str">
        <f t="shared" si="14"/>
        <v/>
      </c>
    </row>
    <row r="194" spans="1:8" ht="16.5" customHeight="1" x14ac:dyDescent="0.2">
      <c r="A194" s="6" t="str">
        <f>IF(AND(ISNUMBER(H193),H193&gt;0),179,"")</f>
        <v/>
      </c>
      <c r="B194" s="7" t="str">
        <f>IF(AND(ISNUMBER(H193),H193&gt;0),EDATE($C$10,179),"")</f>
        <v/>
      </c>
      <c r="C194" s="8" t="str">
        <f t="shared" si="10"/>
        <v/>
      </c>
      <c r="D194" s="9" t="str">
        <f t="shared" si="11"/>
        <v/>
      </c>
      <c r="E194" s="10" t="str">
        <f t="shared" si="12"/>
        <v/>
      </c>
      <c r="F194" s="26" t="str">
        <f t="shared" si="13"/>
        <v/>
      </c>
      <c r="G194" s="21"/>
      <c r="H194" s="11" t="str">
        <f t="shared" si="14"/>
        <v/>
      </c>
    </row>
    <row r="195" spans="1:8" ht="16.5" customHeight="1" x14ac:dyDescent="0.2">
      <c r="A195" s="12" t="str">
        <f>IF(AND(ISNUMBER(H194),H194&gt;0),180,"")</f>
        <v/>
      </c>
      <c r="B195" s="13" t="str">
        <f>IF(AND(ISNUMBER(H194),H194&gt;0),EDATE($C$10,180),"")</f>
        <v/>
      </c>
      <c r="C195" s="14" t="str">
        <f t="shared" si="10"/>
        <v/>
      </c>
      <c r="D195" s="15" t="str">
        <f t="shared" si="11"/>
        <v/>
      </c>
      <c r="E195" s="16" t="str">
        <f t="shared" si="12"/>
        <v/>
      </c>
      <c r="F195" s="27" t="str">
        <f t="shared" si="13"/>
        <v/>
      </c>
      <c r="G195" s="21"/>
      <c r="H195" s="17" t="str">
        <f t="shared" si="14"/>
        <v/>
      </c>
    </row>
    <row r="196" spans="1:8" ht="16.5" customHeight="1" x14ac:dyDescent="0.2">
      <c r="A196" s="6" t="str">
        <f>IF(AND(ISNUMBER(H195),H195&gt;0),181,"")</f>
        <v/>
      </c>
      <c r="B196" s="7" t="str">
        <f>IF(AND(ISNUMBER(H195),H195&gt;0),EDATE($C$10,181),"")</f>
        <v/>
      </c>
      <c r="C196" s="8" t="str">
        <f t="shared" si="10"/>
        <v/>
      </c>
      <c r="D196" s="9" t="str">
        <f t="shared" si="11"/>
        <v/>
      </c>
      <c r="E196" s="10" t="str">
        <f t="shared" si="12"/>
        <v/>
      </c>
      <c r="F196" s="26" t="str">
        <f t="shared" si="13"/>
        <v/>
      </c>
      <c r="G196" s="21"/>
      <c r="H196" s="11" t="str">
        <f t="shared" si="14"/>
        <v/>
      </c>
    </row>
    <row r="197" spans="1:8" ht="16.5" customHeight="1" x14ac:dyDescent="0.2">
      <c r="A197" s="12" t="str">
        <f>IF(AND(ISNUMBER(H196),H196&gt;0),182,"")</f>
        <v/>
      </c>
      <c r="B197" s="13" t="str">
        <f>IF(AND(ISNUMBER(H196),H196&gt;0),EDATE($C$10,182),"")</f>
        <v/>
      </c>
      <c r="C197" s="14" t="str">
        <f t="shared" si="10"/>
        <v/>
      </c>
      <c r="D197" s="15" t="str">
        <f t="shared" si="11"/>
        <v/>
      </c>
      <c r="E197" s="16" t="str">
        <f t="shared" si="12"/>
        <v/>
      </c>
      <c r="F197" s="27" t="str">
        <f t="shared" si="13"/>
        <v/>
      </c>
      <c r="G197" s="21"/>
      <c r="H197" s="17" t="str">
        <f t="shared" si="14"/>
        <v/>
      </c>
    </row>
    <row r="198" spans="1:8" ht="16.5" customHeight="1" x14ac:dyDescent="0.2">
      <c r="A198" s="6" t="str">
        <f>IF(AND(ISNUMBER(H197),H197&gt;0),183,"")</f>
        <v/>
      </c>
      <c r="B198" s="7" t="str">
        <f>IF(AND(ISNUMBER(H197),H197&gt;0),EDATE($C$10,183),"")</f>
        <v/>
      </c>
      <c r="C198" s="8" t="str">
        <f t="shared" si="10"/>
        <v/>
      </c>
      <c r="D198" s="9" t="str">
        <f t="shared" si="11"/>
        <v/>
      </c>
      <c r="E198" s="10" t="str">
        <f t="shared" si="12"/>
        <v/>
      </c>
      <c r="F198" s="26" t="str">
        <f t="shared" si="13"/>
        <v/>
      </c>
      <c r="G198" s="21"/>
      <c r="H198" s="11" t="str">
        <f t="shared" si="14"/>
        <v/>
      </c>
    </row>
    <row r="199" spans="1:8" ht="16.5" customHeight="1" x14ac:dyDescent="0.2">
      <c r="A199" s="12" t="str">
        <f>IF(AND(ISNUMBER(H198),H198&gt;0),184,"")</f>
        <v/>
      </c>
      <c r="B199" s="13" t="str">
        <f>IF(AND(ISNUMBER(H198),H198&gt;0),EDATE($C$10,184),"")</f>
        <v/>
      </c>
      <c r="C199" s="14" t="str">
        <f t="shared" si="10"/>
        <v/>
      </c>
      <c r="D199" s="15" t="str">
        <f t="shared" si="11"/>
        <v/>
      </c>
      <c r="E199" s="16" t="str">
        <f t="shared" si="12"/>
        <v/>
      </c>
      <c r="F199" s="27" t="str">
        <f t="shared" si="13"/>
        <v/>
      </c>
      <c r="G199" s="21"/>
      <c r="H199" s="17" t="str">
        <f t="shared" si="14"/>
        <v/>
      </c>
    </row>
    <row r="200" spans="1:8" ht="16.5" customHeight="1" x14ac:dyDescent="0.2">
      <c r="A200" s="6" t="str">
        <f>IF(AND(ISNUMBER(H199),H199&gt;0),185,"")</f>
        <v/>
      </c>
      <c r="B200" s="7" t="str">
        <f>IF(AND(ISNUMBER(H199),H199&gt;0),EDATE($C$10,185),"")</f>
        <v/>
      </c>
      <c r="C200" s="8" t="str">
        <f t="shared" si="10"/>
        <v/>
      </c>
      <c r="D200" s="9" t="str">
        <f t="shared" si="11"/>
        <v/>
      </c>
      <c r="E200" s="10" t="str">
        <f t="shared" si="12"/>
        <v/>
      </c>
      <c r="F200" s="26" t="str">
        <f t="shared" si="13"/>
        <v/>
      </c>
      <c r="G200" s="21"/>
      <c r="H200" s="11" t="str">
        <f t="shared" si="14"/>
        <v/>
      </c>
    </row>
    <row r="201" spans="1:8" ht="16.5" customHeight="1" x14ac:dyDescent="0.2">
      <c r="A201" s="12" t="str">
        <f>IF(AND(ISNUMBER(H200),H200&gt;0),186,"")</f>
        <v/>
      </c>
      <c r="B201" s="13" t="str">
        <f>IF(AND(ISNUMBER(H200),H200&gt;0),EDATE($C$10,186),"")</f>
        <v/>
      </c>
      <c r="C201" s="14" t="str">
        <f t="shared" si="10"/>
        <v/>
      </c>
      <c r="D201" s="15" t="str">
        <f t="shared" si="11"/>
        <v/>
      </c>
      <c r="E201" s="16" t="str">
        <f t="shared" si="12"/>
        <v/>
      </c>
      <c r="F201" s="27" t="str">
        <f t="shared" si="13"/>
        <v/>
      </c>
      <c r="G201" s="21"/>
      <c r="H201" s="17" t="str">
        <f t="shared" si="14"/>
        <v/>
      </c>
    </row>
    <row r="202" spans="1:8" ht="16.5" customHeight="1" x14ac:dyDescent="0.2">
      <c r="A202" s="6" t="str">
        <f>IF(AND(ISNUMBER(H201),H201&gt;0),187,"")</f>
        <v/>
      </c>
      <c r="B202" s="7" t="str">
        <f>IF(AND(ISNUMBER(H201),H201&gt;0),EDATE($C$10,187),"")</f>
        <v/>
      </c>
      <c r="C202" s="8" t="str">
        <f t="shared" si="10"/>
        <v/>
      </c>
      <c r="D202" s="9" t="str">
        <f t="shared" si="11"/>
        <v/>
      </c>
      <c r="E202" s="10" t="str">
        <f t="shared" si="12"/>
        <v/>
      </c>
      <c r="F202" s="26" t="str">
        <f t="shared" si="13"/>
        <v/>
      </c>
      <c r="G202" s="21"/>
      <c r="H202" s="11" t="str">
        <f t="shared" si="14"/>
        <v/>
      </c>
    </row>
    <row r="203" spans="1:8" ht="16.5" customHeight="1" x14ac:dyDescent="0.2">
      <c r="A203" s="12" t="str">
        <f>IF(AND(ISNUMBER(H202),H202&gt;0),188,"")</f>
        <v/>
      </c>
      <c r="B203" s="13" t="str">
        <f>IF(AND(ISNUMBER(H202),H202&gt;0),EDATE($C$10,188),"")</f>
        <v/>
      </c>
      <c r="C203" s="14" t="str">
        <f t="shared" si="10"/>
        <v/>
      </c>
      <c r="D203" s="15" t="str">
        <f t="shared" si="11"/>
        <v/>
      </c>
      <c r="E203" s="16" t="str">
        <f t="shared" si="12"/>
        <v/>
      </c>
      <c r="F203" s="27" t="str">
        <f t="shared" si="13"/>
        <v/>
      </c>
      <c r="G203" s="21"/>
      <c r="H203" s="17" t="str">
        <f t="shared" si="14"/>
        <v/>
      </c>
    </row>
    <row r="204" spans="1:8" ht="16.5" customHeight="1" x14ac:dyDescent="0.2">
      <c r="A204" s="6" t="str">
        <f>IF(AND(ISNUMBER(H203),H203&gt;0),189,"")</f>
        <v/>
      </c>
      <c r="B204" s="7" t="str">
        <f>IF(AND(ISNUMBER(H203),H203&gt;0),EDATE($C$10,189),"")</f>
        <v/>
      </c>
      <c r="C204" s="8" t="str">
        <f t="shared" si="10"/>
        <v/>
      </c>
      <c r="D204" s="9" t="str">
        <f t="shared" si="11"/>
        <v/>
      </c>
      <c r="E204" s="10" t="str">
        <f t="shared" si="12"/>
        <v/>
      </c>
      <c r="F204" s="26" t="str">
        <f t="shared" si="13"/>
        <v/>
      </c>
      <c r="G204" s="21"/>
      <c r="H204" s="11" t="str">
        <f t="shared" si="14"/>
        <v/>
      </c>
    </row>
    <row r="205" spans="1:8" ht="16.5" customHeight="1" x14ac:dyDescent="0.2">
      <c r="A205" s="12" t="str">
        <f>IF(AND(ISNUMBER(H204),H204&gt;0),190,"")</f>
        <v/>
      </c>
      <c r="B205" s="13" t="str">
        <f>IF(AND(ISNUMBER(H204),H204&gt;0),EDATE($C$10,190),"")</f>
        <v/>
      </c>
      <c r="C205" s="14" t="str">
        <f t="shared" si="10"/>
        <v/>
      </c>
      <c r="D205" s="15" t="str">
        <f t="shared" si="11"/>
        <v/>
      </c>
      <c r="E205" s="16" t="str">
        <f t="shared" si="12"/>
        <v/>
      </c>
      <c r="F205" s="27" t="str">
        <f t="shared" si="13"/>
        <v/>
      </c>
      <c r="G205" s="21"/>
      <c r="H205" s="17" t="str">
        <f t="shared" si="14"/>
        <v/>
      </c>
    </row>
    <row r="206" spans="1:8" ht="16.5" customHeight="1" x14ac:dyDescent="0.2">
      <c r="A206" s="6" t="str">
        <f>IF(AND(ISNUMBER(H205),H205&gt;0),191,"")</f>
        <v/>
      </c>
      <c r="B206" s="7" t="str">
        <f>IF(AND(ISNUMBER(H205),H205&gt;0),EDATE($C$10,191),"")</f>
        <v/>
      </c>
      <c r="C206" s="8" t="str">
        <f t="shared" si="10"/>
        <v/>
      </c>
      <c r="D206" s="9" t="str">
        <f t="shared" si="11"/>
        <v/>
      </c>
      <c r="E206" s="10" t="str">
        <f t="shared" si="12"/>
        <v/>
      </c>
      <c r="F206" s="26" t="str">
        <f t="shared" si="13"/>
        <v/>
      </c>
      <c r="G206" s="21"/>
      <c r="H206" s="11" t="str">
        <f t="shared" si="14"/>
        <v/>
      </c>
    </row>
    <row r="207" spans="1:8" ht="16.5" customHeight="1" x14ac:dyDescent="0.2">
      <c r="A207" s="12" t="str">
        <f>IF(AND(ISNUMBER(H206),H206&gt;0),192,"")</f>
        <v/>
      </c>
      <c r="B207" s="13" t="str">
        <f>IF(AND(ISNUMBER(H206),H206&gt;0),EDATE($C$10,192),"")</f>
        <v/>
      </c>
      <c r="C207" s="14" t="str">
        <f t="shared" si="10"/>
        <v/>
      </c>
      <c r="D207" s="15" t="str">
        <f t="shared" si="11"/>
        <v/>
      </c>
      <c r="E207" s="16" t="str">
        <f t="shared" si="12"/>
        <v/>
      </c>
      <c r="F207" s="27" t="str">
        <f t="shared" si="13"/>
        <v/>
      </c>
      <c r="G207" s="21"/>
      <c r="H207" s="17" t="str">
        <f t="shared" si="14"/>
        <v/>
      </c>
    </row>
    <row r="208" spans="1:8" ht="16.5" customHeight="1" x14ac:dyDescent="0.2">
      <c r="A208" s="6" t="str">
        <f>IF(AND(ISNUMBER(H207),H207&gt;0),193,"")</f>
        <v/>
      </c>
      <c r="B208" s="7" t="str">
        <f>IF(AND(ISNUMBER(H207),H207&gt;0),EDATE($C$10,193),"")</f>
        <v/>
      </c>
      <c r="C208" s="8" t="str">
        <f t="shared" si="10"/>
        <v/>
      </c>
      <c r="D208" s="9" t="str">
        <f t="shared" si="11"/>
        <v/>
      </c>
      <c r="E208" s="10" t="str">
        <f t="shared" si="12"/>
        <v/>
      </c>
      <c r="F208" s="26" t="str">
        <f t="shared" si="13"/>
        <v/>
      </c>
      <c r="G208" s="21"/>
      <c r="H208" s="11" t="str">
        <f t="shared" si="14"/>
        <v/>
      </c>
    </row>
    <row r="209" spans="1:8" ht="16.5" customHeight="1" x14ac:dyDescent="0.2">
      <c r="A209" s="12" t="str">
        <f>IF(AND(ISNUMBER(H208),H208&gt;0),194,"")</f>
        <v/>
      </c>
      <c r="B209" s="13" t="str">
        <f>IF(AND(ISNUMBER(H208),H208&gt;0),EDATE($C$10,194),"")</f>
        <v/>
      </c>
      <c r="C209" s="14" t="str">
        <f t="shared" ref="C209:C272" si="15">IF(AND(ISNUMBER(H208),H208&gt;0),H208,"")</f>
        <v/>
      </c>
      <c r="D209" s="15" t="str">
        <f t="shared" ref="D209:D272" si="16">IFERROR(IF(AND(ISNUMBER(H208),H208&gt;0),ROUND(C209*$C$8/12,2),""),"")</f>
        <v/>
      </c>
      <c r="E209" s="16" t="str">
        <f t="shared" ref="E209:E272" si="17">IFERROR(IF(AND(ISNUMBER(H208),H208&gt;0),C209-H209,""),"")</f>
        <v/>
      </c>
      <c r="F209" s="27" t="str">
        <f t="shared" ref="F209:F272" si="18">IFERROR(IF(AND(ISNUMBER(H208),H208&gt;0),MIN($C$9,C209+D209),""),"")</f>
        <v/>
      </c>
      <c r="G209" s="21"/>
      <c r="H209" s="17" t="str">
        <f t="shared" ref="H209:H272" si="19">IFERROR(IF(AND(ISNUMBER(H208),H208&gt;0),MAX(0,C209+D209-F209-IFERROR(G209*1,0)),""),"")</f>
        <v/>
      </c>
    </row>
    <row r="210" spans="1:8" ht="16.5" customHeight="1" x14ac:dyDescent="0.2">
      <c r="A210" s="6" t="str">
        <f>IF(AND(ISNUMBER(H209),H209&gt;0),195,"")</f>
        <v/>
      </c>
      <c r="B210" s="7" t="str">
        <f>IF(AND(ISNUMBER(H209),H209&gt;0),EDATE($C$10,195),"")</f>
        <v/>
      </c>
      <c r="C210" s="8" t="str">
        <f t="shared" si="15"/>
        <v/>
      </c>
      <c r="D210" s="9" t="str">
        <f t="shared" si="16"/>
        <v/>
      </c>
      <c r="E210" s="10" t="str">
        <f t="shared" si="17"/>
        <v/>
      </c>
      <c r="F210" s="26" t="str">
        <f t="shared" si="18"/>
        <v/>
      </c>
      <c r="G210" s="21"/>
      <c r="H210" s="11" t="str">
        <f t="shared" si="19"/>
        <v/>
      </c>
    </row>
    <row r="211" spans="1:8" ht="16.5" customHeight="1" x14ac:dyDescent="0.2">
      <c r="A211" s="12" t="str">
        <f>IF(AND(ISNUMBER(H210),H210&gt;0),196,"")</f>
        <v/>
      </c>
      <c r="B211" s="13" t="str">
        <f>IF(AND(ISNUMBER(H210),H210&gt;0),EDATE($C$10,196),"")</f>
        <v/>
      </c>
      <c r="C211" s="14" t="str">
        <f t="shared" si="15"/>
        <v/>
      </c>
      <c r="D211" s="15" t="str">
        <f t="shared" si="16"/>
        <v/>
      </c>
      <c r="E211" s="16" t="str">
        <f t="shared" si="17"/>
        <v/>
      </c>
      <c r="F211" s="27" t="str">
        <f t="shared" si="18"/>
        <v/>
      </c>
      <c r="G211" s="21"/>
      <c r="H211" s="17" t="str">
        <f t="shared" si="19"/>
        <v/>
      </c>
    </row>
    <row r="212" spans="1:8" ht="16.5" customHeight="1" x14ac:dyDescent="0.2">
      <c r="A212" s="6" t="str">
        <f>IF(AND(ISNUMBER(H211),H211&gt;0),197,"")</f>
        <v/>
      </c>
      <c r="B212" s="7" t="str">
        <f>IF(AND(ISNUMBER(H211),H211&gt;0),EDATE($C$10,197),"")</f>
        <v/>
      </c>
      <c r="C212" s="8" t="str">
        <f t="shared" si="15"/>
        <v/>
      </c>
      <c r="D212" s="9" t="str">
        <f t="shared" si="16"/>
        <v/>
      </c>
      <c r="E212" s="10" t="str">
        <f t="shared" si="17"/>
        <v/>
      </c>
      <c r="F212" s="26" t="str">
        <f t="shared" si="18"/>
        <v/>
      </c>
      <c r="G212" s="21"/>
      <c r="H212" s="11" t="str">
        <f t="shared" si="19"/>
        <v/>
      </c>
    </row>
    <row r="213" spans="1:8" ht="16.5" customHeight="1" x14ac:dyDescent="0.2">
      <c r="A213" s="12" t="str">
        <f>IF(AND(ISNUMBER(H212),H212&gt;0),198,"")</f>
        <v/>
      </c>
      <c r="B213" s="13" t="str">
        <f>IF(AND(ISNUMBER(H212),H212&gt;0),EDATE($C$10,198),"")</f>
        <v/>
      </c>
      <c r="C213" s="14" t="str">
        <f t="shared" si="15"/>
        <v/>
      </c>
      <c r="D213" s="15" t="str">
        <f t="shared" si="16"/>
        <v/>
      </c>
      <c r="E213" s="16" t="str">
        <f t="shared" si="17"/>
        <v/>
      </c>
      <c r="F213" s="27" t="str">
        <f t="shared" si="18"/>
        <v/>
      </c>
      <c r="G213" s="21"/>
      <c r="H213" s="17" t="str">
        <f t="shared" si="19"/>
        <v/>
      </c>
    </row>
    <row r="214" spans="1:8" ht="16.5" customHeight="1" x14ac:dyDescent="0.2">
      <c r="A214" s="6" t="str">
        <f>IF(AND(ISNUMBER(H213),H213&gt;0),199,"")</f>
        <v/>
      </c>
      <c r="B214" s="7" t="str">
        <f>IF(AND(ISNUMBER(H213),H213&gt;0),EDATE($C$10,199),"")</f>
        <v/>
      </c>
      <c r="C214" s="8" t="str">
        <f t="shared" si="15"/>
        <v/>
      </c>
      <c r="D214" s="9" t="str">
        <f t="shared" si="16"/>
        <v/>
      </c>
      <c r="E214" s="10" t="str">
        <f t="shared" si="17"/>
        <v/>
      </c>
      <c r="F214" s="26" t="str">
        <f t="shared" si="18"/>
        <v/>
      </c>
      <c r="G214" s="21"/>
      <c r="H214" s="11" t="str">
        <f t="shared" si="19"/>
        <v/>
      </c>
    </row>
    <row r="215" spans="1:8" ht="16.5" customHeight="1" x14ac:dyDescent="0.2">
      <c r="A215" s="12" t="str">
        <f>IF(AND(ISNUMBER(H214),H214&gt;0),200,"")</f>
        <v/>
      </c>
      <c r="B215" s="13" t="str">
        <f>IF(AND(ISNUMBER(H214),H214&gt;0),EDATE($C$10,200),"")</f>
        <v/>
      </c>
      <c r="C215" s="14" t="str">
        <f t="shared" si="15"/>
        <v/>
      </c>
      <c r="D215" s="15" t="str">
        <f t="shared" si="16"/>
        <v/>
      </c>
      <c r="E215" s="16" t="str">
        <f t="shared" si="17"/>
        <v/>
      </c>
      <c r="F215" s="27" t="str">
        <f t="shared" si="18"/>
        <v/>
      </c>
      <c r="G215" s="21"/>
      <c r="H215" s="17" t="str">
        <f t="shared" si="19"/>
        <v/>
      </c>
    </row>
    <row r="216" spans="1:8" ht="16.5" customHeight="1" x14ac:dyDescent="0.2">
      <c r="A216" s="6" t="str">
        <f>IF(AND(ISNUMBER(H215),H215&gt;0),201,"")</f>
        <v/>
      </c>
      <c r="B216" s="7" t="str">
        <f>IF(AND(ISNUMBER(H215),H215&gt;0),EDATE($C$10,201),"")</f>
        <v/>
      </c>
      <c r="C216" s="8" t="str">
        <f t="shared" si="15"/>
        <v/>
      </c>
      <c r="D216" s="9" t="str">
        <f t="shared" si="16"/>
        <v/>
      </c>
      <c r="E216" s="10" t="str">
        <f t="shared" si="17"/>
        <v/>
      </c>
      <c r="F216" s="26" t="str">
        <f t="shared" si="18"/>
        <v/>
      </c>
      <c r="G216" s="21"/>
      <c r="H216" s="11" t="str">
        <f t="shared" si="19"/>
        <v/>
      </c>
    </row>
    <row r="217" spans="1:8" ht="16.5" customHeight="1" x14ac:dyDescent="0.2">
      <c r="A217" s="12" t="str">
        <f>IF(AND(ISNUMBER(H216),H216&gt;0),202,"")</f>
        <v/>
      </c>
      <c r="B217" s="13" t="str">
        <f>IF(AND(ISNUMBER(H216),H216&gt;0),EDATE($C$10,202),"")</f>
        <v/>
      </c>
      <c r="C217" s="14" t="str">
        <f t="shared" si="15"/>
        <v/>
      </c>
      <c r="D217" s="15" t="str">
        <f t="shared" si="16"/>
        <v/>
      </c>
      <c r="E217" s="16" t="str">
        <f t="shared" si="17"/>
        <v/>
      </c>
      <c r="F217" s="27" t="str">
        <f t="shared" si="18"/>
        <v/>
      </c>
      <c r="G217" s="21"/>
      <c r="H217" s="17" t="str">
        <f t="shared" si="19"/>
        <v/>
      </c>
    </row>
    <row r="218" spans="1:8" ht="16.5" customHeight="1" x14ac:dyDescent="0.2">
      <c r="A218" s="6" t="str">
        <f>IF(AND(ISNUMBER(H217),H217&gt;0),203,"")</f>
        <v/>
      </c>
      <c r="B218" s="7" t="str">
        <f>IF(AND(ISNUMBER(H217),H217&gt;0),EDATE($C$10,203),"")</f>
        <v/>
      </c>
      <c r="C218" s="8" t="str">
        <f t="shared" si="15"/>
        <v/>
      </c>
      <c r="D218" s="9" t="str">
        <f t="shared" si="16"/>
        <v/>
      </c>
      <c r="E218" s="10" t="str">
        <f t="shared" si="17"/>
        <v/>
      </c>
      <c r="F218" s="26" t="str">
        <f t="shared" si="18"/>
        <v/>
      </c>
      <c r="G218" s="21"/>
      <c r="H218" s="11" t="str">
        <f t="shared" si="19"/>
        <v/>
      </c>
    </row>
    <row r="219" spans="1:8" ht="16.5" customHeight="1" x14ac:dyDescent="0.2">
      <c r="A219" s="12" t="str">
        <f>IF(AND(ISNUMBER(H218),H218&gt;0),204,"")</f>
        <v/>
      </c>
      <c r="B219" s="13" t="str">
        <f>IF(AND(ISNUMBER(H218),H218&gt;0),EDATE($C$10,204),"")</f>
        <v/>
      </c>
      <c r="C219" s="14" t="str">
        <f t="shared" si="15"/>
        <v/>
      </c>
      <c r="D219" s="15" t="str">
        <f t="shared" si="16"/>
        <v/>
      </c>
      <c r="E219" s="16" t="str">
        <f t="shared" si="17"/>
        <v/>
      </c>
      <c r="F219" s="27" t="str">
        <f t="shared" si="18"/>
        <v/>
      </c>
      <c r="G219" s="21"/>
      <c r="H219" s="17" t="str">
        <f t="shared" si="19"/>
        <v/>
      </c>
    </row>
    <row r="220" spans="1:8" ht="16.5" customHeight="1" x14ac:dyDescent="0.2">
      <c r="A220" s="6" t="str">
        <f>IF(AND(ISNUMBER(H219),H219&gt;0),205,"")</f>
        <v/>
      </c>
      <c r="B220" s="7" t="str">
        <f>IF(AND(ISNUMBER(H219),H219&gt;0),EDATE($C$10,205),"")</f>
        <v/>
      </c>
      <c r="C220" s="8" t="str">
        <f t="shared" si="15"/>
        <v/>
      </c>
      <c r="D220" s="9" t="str">
        <f t="shared" si="16"/>
        <v/>
      </c>
      <c r="E220" s="10" t="str">
        <f t="shared" si="17"/>
        <v/>
      </c>
      <c r="F220" s="26" t="str">
        <f t="shared" si="18"/>
        <v/>
      </c>
      <c r="G220" s="21"/>
      <c r="H220" s="11" t="str">
        <f t="shared" si="19"/>
        <v/>
      </c>
    </row>
    <row r="221" spans="1:8" ht="16.5" customHeight="1" x14ac:dyDescent="0.2">
      <c r="A221" s="12" t="str">
        <f>IF(AND(ISNUMBER(H220),H220&gt;0),206,"")</f>
        <v/>
      </c>
      <c r="B221" s="13" t="str">
        <f>IF(AND(ISNUMBER(H220),H220&gt;0),EDATE($C$10,206),"")</f>
        <v/>
      </c>
      <c r="C221" s="14" t="str">
        <f t="shared" si="15"/>
        <v/>
      </c>
      <c r="D221" s="15" t="str">
        <f t="shared" si="16"/>
        <v/>
      </c>
      <c r="E221" s="16" t="str">
        <f t="shared" si="17"/>
        <v/>
      </c>
      <c r="F221" s="27" t="str">
        <f t="shared" si="18"/>
        <v/>
      </c>
      <c r="G221" s="21"/>
      <c r="H221" s="17" t="str">
        <f t="shared" si="19"/>
        <v/>
      </c>
    </row>
    <row r="222" spans="1:8" ht="16.5" customHeight="1" x14ac:dyDescent="0.2">
      <c r="A222" s="6" t="str">
        <f>IF(AND(ISNUMBER(H221),H221&gt;0),207,"")</f>
        <v/>
      </c>
      <c r="B222" s="7" t="str">
        <f>IF(AND(ISNUMBER(H221),H221&gt;0),EDATE($C$10,207),"")</f>
        <v/>
      </c>
      <c r="C222" s="8" t="str">
        <f t="shared" si="15"/>
        <v/>
      </c>
      <c r="D222" s="9" t="str">
        <f t="shared" si="16"/>
        <v/>
      </c>
      <c r="E222" s="10" t="str">
        <f t="shared" si="17"/>
        <v/>
      </c>
      <c r="F222" s="26" t="str">
        <f t="shared" si="18"/>
        <v/>
      </c>
      <c r="G222" s="21"/>
      <c r="H222" s="11" t="str">
        <f t="shared" si="19"/>
        <v/>
      </c>
    </row>
    <row r="223" spans="1:8" ht="16.5" customHeight="1" x14ac:dyDescent="0.2">
      <c r="A223" s="12" t="str">
        <f>IF(AND(ISNUMBER(H222),H222&gt;0),208,"")</f>
        <v/>
      </c>
      <c r="B223" s="13" t="str">
        <f>IF(AND(ISNUMBER(H222),H222&gt;0),EDATE($C$10,208),"")</f>
        <v/>
      </c>
      <c r="C223" s="14" t="str">
        <f t="shared" si="15"/>
        <v/>
      </c>
      <c r="D223" s="15" t="str">
        <f t="shared" si="16"/>
        <v/>
      </c>
      <c r="E223" s="16" t="str">
        <f t="shared" si="17"/>
        <v/>
      </c>
      <c r="F223" s="27" t="str">
        <f t="shared" si="18"/>
        <v/>
      </c>
      <c r="G223" s="21"/>
      <c r="H223" s="17" t="str">
        <f t="shared" si="19"/>
        <v/>
      </c>
    </row>
    <row r="224" spans="1:8" ht="16.5" customHeight="1" x14ac:dyDescent="0.2">
      <c r="A224" s="6" t="str">
        <f>IF(AND(ISNUMBER(H223),H223&gt;0),209,"")</f>
        <v/>
      </c>
      <c r="B224" s="7" t="str">
        <f>IF(AND(ISNUMBER(H223),H223&gt;0),EDATE($C$10,209),"")</f>
        <v/>
      </c>
      <c r="C224" s="8" t="str">
        <f t="shared" si="15"/>
        <v/>
      </c>
      <c r="D224" s="9" t="str">
        <f t="shared" si="16"/>
        <v/>
      </c>
      <c r="E224" s="10" t="str">
        <f t="shared" si="17"/>
        <v/>
      </c>
      <c r="F224" s="26" t="str">
        <f t="shared" si="18"/>
        <v/>
      </c>
      <c r="G224" s="21"/>
      <c r="H224" s="11" t="str">
        <f t="shared" si="19"/>
        <v/>
      </c>
    </row>
    <row r="225" spans="1:8" ht="16.5" customHeight="1" x14ac:dyDescent="0.2">
      <c r="A225" s="12" t="str">
        <f>IF(AND(ISNUMBER(H224),H224&gt;0),210,"")</f>
        <v/>
      </c>
      <c r="B225" s="13" t="str">
        <f>IF(AND(ISNUMBER(H224),H224&gt;0),EDATE($C$10,210),"")</f>
        <v/>
      </c>
      <c r="C225" s="14" t="str">
        <f t="shared" si="15"/>
        <v/>
      </c>
      <c r="D225" s="15" t="str">
        <f t="shared" si="16"/>
        <v/>
      </c>
      <c r="E225" s="16" t="str">
        <f t="shared" si="17"/>
        <v/>
      </c>
      <c r="F225" s="27" t="str">
        <f t="shared" si="18"/>
        <v/>
      </c>
      <c r="G225" s="21"/>
      <c r="H225" s="17" t="str">
        <f t="shared" si="19"/>
        <v/>
      </c>
    </row>
    <row r="226" spans="1:8" ht="16.5" customHeight="1" x14ac:dyDescent="0.2">
      <c r="A226" s="6" t="str">
        <f>IF(AND(ISNUMBER(H225),H225&gt;0),211,"")</f>
        <v/>
      </c>
      <c r="B226" s="7" t="str">
        <f>IF(AND(ISNUMBER(H225),H225&gt;0),EDATE($C$10,211),"")</f>
        <v/>
      </c>
      <c r="C226" s="8" t="str">
        <f t="shared" si="15"/>
        <v/>
      </c>
      <c r="D226" s="9" t="str">
        <f t="shared" si="16"/>
        <v/>
      </c>
      <c r="E226" s="10" t="str">
        <f t="shared" si="17"/>
        <v/>
      </c>
      <c r="F226" s="26" t="str">
        <f t="shared" si="18"/>
        <v/>
      </c>
      <c r="G226" s="21"/>
      <c r="H226" s="11" t="str">
        <f t="shared" si="19"/>
        <v/>
      </c>
    </row>
    <row r="227" spans="1:8" ht="16.5" customHeight="1" x14ac:dyDescent="0.2">
      <c r="A227" s="12" t="str">
        <f>IF(AND(ISNUMBER(H226),H226&gt;0),212,"")</f>
        <v/>
      </c>
      <c r="B227" s="13" t="str">
        <f>IF(AND(ISNUMBER(H226),H226&gt;0),EDATE($C$10,212),"")</f>
        <v/>
      </c>
      <c r="C227" s="14" t="str">
        <f t="shared" si="15"/>
        <v/>
      </c>
      <c r="D227" s="15" t="str">
        <f t="shared" si="16"/>
        <v/>
      </c>
      <c r="E227" s="16" t="str">
        <f t="shared" si="17"/>
        <v/>
      </c>
      <c r="F227" s="27" t="str">
        <f t="shared" si="18"/>
        <v/>
      </c>
      <c r="G227" s="21"/>
      <c r="H227" s="17" t="str">
        <f t="shared" si="19"/>
        <v/>
      </c>
    </row>
    <row r="228" spans="1:8" ht="16.5" customHeight="1" x14ac:dyDescent="0.2">
      <c r="A228" s="6" t="str">
        <f>IF(AND(ISNUMBER(H227),H227&gt;0),213,"")</f>
        <v/>
      </c>
      <c r="B228" s="7" t="str">
        <f>IF(AND(ISNUMBER(H227),H227&gt;0),EDATE($C$10,213),"")</f>
        <v/>
      </c>
      <c r="C228" s="8" t="str">
        <f t="shared" si="15"/>
        <v/>
      </c>
      <c r="D228" s="9" t="str">
        <f t="shared" si="16"/>
        <v/>
      </c>
      <c r="E228" s="10" t="str">
        <f t="shared" si="17"/>
        <v/>
      </c>
      <c r="F228" s="26" t="str">
        <f t="shared" si="18"/>
        <v/>
      </c>
      <c r="G228" s="21"/>
      <c r="H228" s="11" t="str">
        <f t="shared" si="19"/>
        <v/>
      </c>
    </row>
    <row r="229" spans="1:8" ht="16.5" customHeight="1" x14ac:dyDescent="0.2">
      <c r="A229" s="12" t="str">
        <f>IF(AND(ISNUMBER(H228),H228&gt;0),214,"")</f>
        <v/>
      </c>
      <c r="B229" s="13" t="str">
        <f>IF(AND(ISNUMBER(H228),H228&gt;0),EDATE($C$10,214),"")</f>
        <v/>
      </c>
      <c r="C229" s="14" t="str">
        <f t="shared" si="15"/>
        <v/>
      </c>
      <c r="D229" s="15" t="str">
        <f t="shared" si="16"/>
        <v/>
      </c>
      <c r="E229" s="16" t="str">
        <f t="shared" si="17"/>
        <v/>
      </c>
      <c r="F229" s="27" t="str">
        <f t="shared" si="18"/>
        <v/>
      </c>
      <c r="G229" s="21"/>
      <c r="H229" s="17" t="str">
        <f t="shared" si="19"/>
        <v/>
      </c>
    </row>
    <row r="230" spans="1:8" ht="16.5" customHeight="1" x14ac:dyDescent="0.2">
      <c r="A230" s="6" t="str">
        <f>IF(AND(ISNUMBER(H229),H229&gt;0),215,"")</f>
        <v/>
      </c>
      <c r="B230" s="7" t="str">
        <f>IF(AND(ISNUMBER(H229),H229&gt;0),EDATE($C$10,215),"")</f>
        <v/>
      </c>
      <c r="C230" s="8" t="str">
        <f t="shared" si="15"/>
        <v/>
      </c>
      <c r="D230" s="9" t="str">
        <f t="shared" si="16"/>
        <v/>
      </c>
      <c r="E230" s="10" t="str">
        <f t="shared" si="17"/>
        <v/>
      </c>
      <c r="F230" s="26" t="str">
        <f t="shared" si="18"/>
        <v/>
      </c>
      <c r="G230" s="21"/>
      <c r="H230" s="11" t="str">
        <f t="shared" si="19"/>
        <v/>
      </c>
    </row>
    <row r="231" spans="1:8" ht="16.5" customHeight="1" x14ac:dyDescent="0.2">
      <c r="A231" s="12" t="str">
        <f>IF(AND(ISNUMBER(H230),H230&gt;0),216,"")</f>
        <v/>
      </c>
      <c r="B231" s="13" t="str">
        <f>IF(AND(ISNUMBER(H230),H230&gt;0),EDATE($C$10,216),"")</f>
        <v/>
      </c>
      <c r="C231" s="14" t="str">
        <f t="shared" si="15"/>
        <v/>
      </c>
      <c r="D231" s="15" t="str">
        <f t="shared" si="16"/>
        <v/>
      </c>
      <c r="E231" s="16" t="str">
        <f t="shared" si="17"/>
        <v/>
      </c>
      <c r="F231" s="27" t="str">
        <f t="shared" si="18"/>
        <v/>
      </c>
      <c r="G231" s="21"/>
      <c r="H231" s="17" t="str">
        <f t="shared" si="19"/>
        <v/>
      </c>
    </row>
    <row r="232" spans="1:8" ht="16.5" customHeight="1" x14ac:dyDescent="0.2">
      <c r="A232" s="6" t="str">
        <f>IF(AND(ISNUMBER(H231),H231&gt;0),217,"")</f>
        <v/>
      </c>
      <c r="B232" s="7" t="str">
        <f>IF(AND(ISNUMBER(H231),H231&gt;0),EDATE($C$10,217),"")</f>
        <v/>
      </c>
      <c r="C232" s="8" t="str">
        <f t="shared" si="15"/>
        <v/>
      </c>
      <c r="D232" s="9" t="str">
        <f t="shared" si="16"/>
        <v/>
      </c>
      <c r="E232" s="10" t="str">
        <f t="shared" si="17"/>
        <v/>
      </c>
      <c r="F232" s="26" t="str">
        <f t="shared" si="18"/>
        <v/>
      </c>
      <c r="G232" s="21"/>
      <c r="H232" s="11" t="str">
        <f t="shared" si="19"/>
        <v/>
      </c>
    </row>
    <row r="233" spans="1:8" ht="16.5" customHeight="1" x14ac:dyDescent="0.2">
      <c r="A233" s="12" t="str">
        <f>IF(AND(ISNUMBER(H232),H232&gt;0),218,"")</f>
        <v/>
      </c>
      <c r="B233" s="13" t="str">
        <f>IF(AND(ISNUMBER(H232),H232&gt;0),EDATE($C$10,218),"")</f>
        <v/>
      </c>
      <c r="C233" s="14" t="str">
        <f t="shared" si="15"/>
        <v/>
      </c>
      <c r="D233" s="15" t="str">
        <f t="shared" si="16"/>
        <v/>
      </c>
      <c r="E233" s="16" t="str">
        <f t="shared" si="17"/>
        <v/>
      </c>
      <c r="F233" s="27" t="str">
        <f t="shared" si="18"/>
        <v/>
      </c>
      <c r="G233" s="21"/>
      <c r="H233" s="17" t="str">
        <f t="shared" si="19"/>
        <v/>
      </c>
    </row>
    <row r="234" spans="1:8" ht="16.5" customHeight="1" x14ac:dyDescent="0.2">
      <c r="A234" s="6" t="str">
        <f>IF(AND(ISNUMBER(H233),H233&gt;0),219,"")</f>
        <v/>
      </c>
      <c r="B234" s="7" t="str">
        <f>IF(AND(ISNUMBER(H233),H233&gt;0),EDATE($C$10,219),"")</f>
        <v/>
      </c>
      <c r="C234" s="8" t="str">
        <f t="shared" si="15"/>
        <v/>
      </c>
      <c r="D234" s="9" t="str">
        <f t="shared" si="16"/>
        <v/>
      </c>
      <c r="E234" s="10" t="str">
        <f t="shared" si="17"/>
        <v/>
      </c>
      <c r="F234" s="26" t="str">
        <f t="shared" si="18"/>
        <v/>
      </c>
      <c r="G234" s="21"/>
      <c r="H234" s="11" t="str">
        <f t="shared" si="19"/>
        <v/>
      </c>
    </row>
    <row r="235" spans="1:8" ht="16.5" customHeight="1" x14ac:dyDescent="0.2">
      <c r="A235" s="12" t="str">
        <f>IF(AND(ISNUMBER(H234),H234&gt;0),220,"")</f>
        <v/>
      </c>
      <c r="B235" s="13" t="str">
        <f>IF(AND(ISNUMBER(H234),H234&gt;0),EDATE($C$10,220),"")</f>
        <v/>
      </c>
      <c r="C235" s="14" t="str">
        <f t="shared" si="15"/>
        <v/>
      </c>
      <c r="D235" s="15" t="str">
        <f t="shared" si="16"/>
        <v/>
      </c>
      <c r="E235" s="16" t="str">
        <f t="shared" si="17"/>
        <v/>
      </c>
      <c r="F235" s="27" t="str">
        <f t="shared" si="18"/>
        <v/>
      </c>
      <c r="G235" s="21"/>
      <c r="H235" s="17" t="str">
        <f t="shared" si="19"/>
        <v/>
      </c>
    </row>
    <row r="236" spans="1:8" ht="16.5" customHeight="1" x14ac:dyDescent="0.2">
      <c r="A236" s="6" t="str">
        <f>IF(AND(ISNUMBER(H235),H235&gt;0),221,"")</f>
        <v/>
      </c>
      <c r="B236" s="7" t="str">
        <f>IF(AND(ISNUMBER(H235),H235&gt;0),EDATE($C$10,221),"")</f>
        <v/>
      </c>
      <c r="C236" s="8" t="str">
        <f t="shared" si="15"/>
        <v/>
      </c>
      <c r="D236" s="9" t="str">
        <f t="shared" si="16"/>
        <v/>
      </c>
      <c r="E236" s="10" t="str">
        <f t="shared" si="17"/>
        <v/>
      </c>
      <c r="F236" s="26" t="str">
        <f t="shared" si="18"/>
        <v/>
      </c>
      <c r="G236" s="21"/>
      <c r="H236" s="11" t="str">
        <f t="shared" si="19"/>
        <v/>
      </c>
    </row>
    <row r="237" spans="1:8" ht="16.5" customHeight="1" x14ac:dyDescent="0.2">
      <c r="A237" s="12" t="str">
        <f>IF(AND(ISNUMBER(H236),H236&gt;0),222,"")</f>
        <v/>
      </c>
      <c r="B237" s="13" t="str">
        <f>IF(AND(ISNUMBER(H236),H236&gt;0),EDATE($C$10,222),"")</f>
        <v/>
      </c>
      <c r="C237" s="14" t="str">
        <f t="shared" si="15"/>
        <v/>
      </c>
      <c r="D237" s="15" t="str">
        <f t="shared" si="16"/>
        <v/>
      </c>
      <c r="E237" s="16" t="str">
        <f t="shared" si="17"/>
        <v/>
      </c>
      <c r="F237" s="27" t="str">
        <f t="shared" si="18"/>
        <v/>
      </c>
      <c r="G237" s="21"/>
      <c r="H237" s="17" t="str">
        <f t="shared" si="19"/>
        <v/>
      </c>
    </row>
    <row r="238" spans="1:8" ht="16.5" customHeight="1" x14ac:dyDescent="0.2">
      <c r="A238" s="6" t="str">
        <f>IF(AND(ISNUMBER(H237),H237&gt;0),223,"")</f>
        <v/>
      </c>
      <c r="B238" s="7" t="str">
        <f>IF(AND(ISNUMBER(H237),H237&gt;0),EDATE($C$10,223),"")</f>
        <v/>
      </c>
      <c r="C238" s="8" t="str">
        <f t="shared" si="15"/>
        <v/>
      </c>
      <c r="D238" s="9" t="str">
        <f t="shared" si="16"/>
        <v/>
      </c>
      <c r="E238" s="10" t="str">
        <f t="shared" si="17"/>
        <v/>
      </c>
      <c r="F238" s="26" t="str">
        <f t="shared" si="18"/>
        <v/>
      </c>
      <c r="G238" s="21"/>
      <c r="H238" s="11" t="str">
        <f t="shared" si="19"/>
        <v/>
      </c>
    </row>
    <row r="239" spans="1:8" ht="16.5" customHeight="1" x14ac:dyDescent="0.2">
      <c r="A239" s="12" t="str">
        <f>IF(AND(ISNUMBER(H238),H238&gt;0),224,"")</f>
        <v/>
      </c>
      <c r="B239" s="13" t="str">
        <f>IF(AND(ISNUMBER(H238),H238&gt;0),EDATE($C$10,224),"")</f>
        <v/>
      </c>
      <c r="C239" s="14" t="str">
        <f t="shared" si="15"/>
        <v/>
      </c>
      <c r="D239" s="15" t="str">
        <f t="shared" si="16"/>
        <v/>
      </c>
      <c r="E239" s="16" t="str">
        <f t="shared" si="17"/>
        <v/>
      </c>
      <c r="F239" s="27" t="str">
        <f t="shared" si="18"/>
        <v/>
      </c>
      <c r="G239" s="21"/>
      <c r="H239" s="17" t="str">
        <f t="shared" si="19"/>
        <v/>
      </c>
    </row>
    <row r="240" spans="1:8" ht="16.5" customHeight="1" x14ac:dyDescent="0.2">
      <c r="A240" s="6" t="str">
        <f>IF(AND(ISNUMBER(H239),H239&gt;0),225,"")</f>
        <v/>
      </c>
      <c r="B240" s="7" t="str">
        <f>IF(AND(ISNUMBER(H239),H239&gt;0),EDATE($C$10,225),"")</f>
        <v/>
      </c>
      <c r="C240" s="8" t="str">
        <f t="shared" si="15"/>
        <v/>
      </c>
      <c r="D240" s="9" t="str">
        <f t="shared" si="16"/>
        <v/>
      </c>
      <c r="E240" s="10" t="str">
        <f t="shared" si="17"/>
        <v/>
      </c>
      <c r="F240" s="26" t="str">
        <f t="shared" si="18"/>
        <v/>
      </c>
      <c r="G240" s="21"/>
      <c r="H240" s="11" t="str">
        <f t="shared" si="19"/>
        <v/>
      </c>
    </row>
    <row r="241" spans="1:8" ht="16.5" customHeight="1" x14ac:dyDescent="0.2">
      <c r="A241" s="12" t="str">
        <f>IF(AND(ISNUMBER(H240),H240&gt;0),226,"")</f>
        <v/>
      </c>
      <c r="B241" s="13" t="str">
        <f>IF(AND(ISNUMBER(H240),H240&gt;0),EDATE($C$10,226),"")</f>
        <v/>
      </c>
      <c r="C241" s="14" t="str">
        <f t="shared" si="15"/>
        <v/>
      </c>
      <c r="D241" s="15" t="str">
        <f t="shared" si="16"/>
        <v/>
      </c>
      <c r="E241" s="16" t="str">
        <f t="shared" si="17"/>
        <v/>
      </c>
      <c r="F241" s="27" t="str">
        <f t="shared" si="18"/>
        <v/>
      </c>
      <c r="G241" s="21"/>
      <c r="H241" s="17" t="str">
        <f t="shared" si="19"/>
        <v/>
      </c>
    </row>
    <row r="242" spans="1:8" ht="16.5" customHeight="1" x14ac:dyDescent="0.2">
      <c r="A242" s="6" t="str">
        <f>IF(AND(ISNUMBER(H241),H241&gt;0),227,"")</f>
        <v/>
      </c>
      <c r="B242" s="7" t="str">
        <f>IF(AND(ISNUMBER(H241),H241&gt;0),EDATE($C$10,227),"")</f>
        <v/>
      </c>
      <c r="C242" s="8" t="str">
        <f t="shared" si="15"/>
        <v/>
      </c>
      <c r="D242" s="9" t="str">
        <f t="shared" si="16"/>
        <v/>
      </c>
      <c r="E242" s="10" t="str">
        <f t="shared" si="17"/>
        <v/>
      </c>
      <c r="F242" s="26" t="str">
        <f t="shared" si="18"/>
        <v/>
      </c>
      <c r="G242" s="21"/>
      <c r="H242" s="11" t="str">
        <f t="shared" si="19"/>
        <v/>
      </c>
    </row>
    <row r="243" spans="1:8" ht="16.5" customHeight="1" x14ac:dyDescent="0.2">
      <c r="A243" s="12" t="str">
        <f>IF(AND(ISNUMBER(H242),H242&gt;0),228,"")</f>
        <v/>
      </c>
      <c r="B243" s="13" t="str">
        <f>IF(AND(ISNUMBER(H242),H242&gt;0),EDATE($C$10,228),"")</f>
        <v/>
      </c>
      <c r="C243" s="14" t="str">
        <f t="shared" si="15"/>
        <v/>
      </c>
      <c r="D243" s="15" t="str">
        <f t="shared" si="16"/>
        <v/>
      </c>
      <c r="E243" s="16" t="str">
        <f t="shared" si="17"/>
        <v/>
      </c>
      <c r="F243" s="27" t="str">
        <f t="shared" si="18"/>
        <v/>
      </c>
      <c r="G243" s="21"/>
      <c r="H243" s="17" t="str">
        <f t="shared" si="19"/>
        <v/>
      </c>
    </row>
    <row r="244" spans="1:8" ht="16.5" customHeight="1" x14ac:dyDescent="0.2">
      <c r="A244" s="6" t="str">
        <f>IF(AND(ISNUMBER(H243),H243&gt;0),229,"")</f>
        <v/>
      </c>
      <c r="B244" s="7" t="str">
        <f>IF(AND(ISNUMBER(H243),H243&gt;0),EDATE($C$10,229),"")</f>
        <v/>
      </c>
      <c r="C244" s="8" t="str">
        <f t="shared" si="15"/>
        <v/>
      </c>
      <c r="D244" s="9" t="str">
        <f t="shared" si="16"/>
        <v/>
      </c>
      <c r="E244" s="10" t="str">
        <f t="shared" si="17"/>
        <v/>
      </c>
      <c r="F244" s="26" t="str">
        <f t="shared" si="18"/>
        <v/>
      </c>
      <c r="G244" s="21"/>
      <c r="H244" s="11" t="str">
        <f t="shared" si="19"/>
        <v/>
      </c>
    </row>
    <row r="245" spans="1:8" ht="16.5" customHeight="1" x14ac:dyDescent="0.2">
      <c r="A245" s="12" t="str">
        <f>IF(AND(ISNUMBER(H244),H244&gt;0),230,"")</f>
        <v/>
      </c>
      <c r="B245" s="13" t="str">
        <f>IF(AND(ISNUMBER(H244),H244&gt;0),EDATE($C$10,230),"")</f>
        <v/>
      </c>
      <c r="C245" s="14" t="str">
        <f t="shared" si="15"/>
        <v/>
      </c>
      <c r="D245" s="15" t="str">
        <f t="shared" si="16"/>
        <v/>
      </c>
      <c r="E245" s="16" t="str">
        <f t="shared" si="17"/>
        <v/>
      </c>
      <c r="F245" s="27" t="str">
        <f t="shared" si="18"/>
        <v/>
      </c>
      <c r="G245" s="21"/>
      <c r="H245" s="17" t="str">
        <f t="shared" si="19"/>
        <v/>
      </c>
    </row>
    <row r="246" spans="1:8" ht="16.5" customHeight="1" x14ac:dyDescent="0.2">
      <c r="A246" s="6" t="str">
        <f>IF(AND(ISNUMBER(H245),H245&gt;0),231,"")</f>
        <v/>
      </c>
      <c r="B246" s="7" t="str">
        <f>IF(AND(ISNUMBER(H245),H245&gt;0),EDATE($C$10,231),"")</f>
        <v/>
      </c>
      <c r="C246" s="8" t="str">
        <f t="shared" si="15"/>
        <v/>
      </c>
      <c r="D246" s="9" t="str">
        <f t="shared" si="16"/>
        <v/>
      </c>
      <c r="E246" s="10" t="str">
        <f t="shared" si="17"/>
        <v/>
      </c>
      <c r="F246" s="26" t="str">
        <f t="shared" si="18"/>
        <v/>
      </c>
      <c r="G246" s="21"/>
      <c r="H246" s="11" t="str">
        <f t="shared" si="19"/>
        <v/>
      </c>
    </row>
    <row r="247" spans="1:8" ht="16.5" customHeight="1" x14ac:dyDescent="0.2">
      <c r="A247" s="12" t="str">
        <f>IF(AND(ISNUMBER(H246),H246&gt;0),232,"")</f>
        <v/>
      </c>
      <c r="B247" s="13" t="str">
        <f>IF(AND(ISNUMBER(H246),H246&gt;0),EDATE($C$10,232),"")</f>
        <v/>
      </c>
      <c r="C247" s="14" t="str">
        <f t="shared" si="15"/>
        <v/>
      </c>
      <c r="D247" s="15" t="str">
        <f t="shared" si="16"/>
        <v/>
      </c>
      <c r="E247" s="16" t="str">
        <f t="shared" si="17"/>
        <v/>
      </c>
      <c r="F247" s="27" t="str">
        <f t="shared" si="18"/>
        <v/>
      </c>
      <c r="G247" s="21"/>
      <c r="H247" s="17" t="str">
        <f t="shared" si="19"/>
        <v/>
      </c>
    </row>
    <row r="248" spans="1:8" ht="16.5" customHeight="1" x14ac:dyDescent="0.2">
      <c r="A248" s="6" t="str">
        <f>IF(AND(ISNUMBER(H247),H247&gt;0),233,"")</f>
        <v/>
      </c>
      <c r="B248" s="7" t="str">
        <f>IF(AND(ISNUMBER(H247),H247&gt;0),EDATE($C$10,233),"")</f>
        <v/>
      </c>
      <c r="C248" s="8" t="str">
        <f t="shared" si="15"/>
        <v/>
      </c>
      <c r="D248" s="9" t="str">
        <f t="shared" si="16"/>
        <v/>
      </c>
      <c r="E248" s="10" t="str">
        <f t="shared" si="17"/>
        <v/>
      </c>
      <c r="F248" s="26" t="str">
        <f t="shared" si="18"/>
        <v/>
      </c>
      <c r="G248" s="21"/>
      <c r="H248" s="11" t="str">
        <f t="shared" si="19"/>
        <v/>
      </c>
    </row>
    <row r="249" spans="1:8" ht="16.5" customHeight="1" x14ac:dyDescent="0.2">
      <c r="A249" s="12" t="str">
        <f>IF(AND(ISNUMBER(H248),H248&gt;0),234,"")</f>
        <v/>
      </c>
      <c r="B249" s="13" t="str">
        <f>IF(AND(ISNUMBER(H248),H248&gt;0),EDATE($C$10,234),"")</f>
        <v/>
      </c>
      <c r="C249" s="14" t="str">
        <f t="shared" si="15"/>
        <v/>
      </c>
      <c r="D249" s="15" t="str">
        <f t="shared" si="16"/>
        <v/>
      </c>
      <c r="E249" s="16" t="str">
        <f t="shared" si="17"/>
        <v/>
      </c>
      <c r="F249" s="27" t="str">
        <f t="shared" si="18"/>
        <v/>
      </c>
      <c r="G249" s="21"/>
      <c r="H249" s="17" t="str">
        <f t="shared" si="19"/>
        <v/>
      </c>
    </row>
    <row r="250" spans="1:8" ht="16.5" customHeight="1" x14ac:dyDescent="0.2">
      <c r="A250" s="6" t="str">
        <f>IF(AND(ISNUMBER(H249),H249&gt;0),235,"")</f>
        <v/>
      </c>
      <c r="B250" s="7" t="str">
        <f>IF(AND(ISNUMBER(H249),H249&gt;0),EDATE($C$10,235),"")</f>
        <v/>
      </c>
      <c r="C250" s="8" t="str">
        <f t="shared" si="15"/>
        <v/>
      </c>
      <c r="D250" s="9" t="str">
        <f t="shared" si="16"/>
        <v/>
      </c>
      <c r="E250" s="10" t="str">
        <f t="shared" si="17"/>
        <v/>
      </c>
      <c r="F250" s="26" t="str">
        <f t="shared" si="18"/>
        <v/>
      </c>
      <c r="G250" s="21"/>
      <c r="H250" s="11" t="str">
        <f t="shared" si="19"/>
        <v/>
      </c>
    </row>
    <row r="251" spans="1:8" ht="16.5" customHeight="1" x14ac:dyDescent="0.2">
      <c r="A251" s="12" t="str">
        <f>IF(AND(ISNUMBER(H250),H250&gt;0),236,"")</f>
        <v/>
      </c>
      <c r="B251" s="13" t="str">
        <f>IF(AND(ISNUMBER(H250),H250&gt;0),EDATE($C$10,236),"")</f>
        <v/>
      </c>
      <c r="C251" s="14" t="str">
        <f t="shared" si="15"/>
        <v/>
      </c>
      <c r="D251" s="15" t="str">
        <f t="shared" si="16"/>
        <v/>
      </c>
      <c r="E251" s="16" t="str">
        <f t="shared" si="17"/>
        <v/>
      </c>
      <c r="F251" s="27" t="str">
        <f t="shared" si="18"/>
        <v/>
      </c>
      <c r="G251" s="21"/>
      <c r="H251" s="17" t="str">
        <f t="shared" si="19"/>
        <v/>
      </c>
    </row>
    <row r="252" spans="1:8" ht="16.5" customHeight="1" x14ac:dyDescent="0.2">
      <c r="A252" s="6" t="str">
        <f>IF(AND(ISNUMBER(H251),H251&gt;0),237,"")</f>
        <v/>
      </c>
      <c r="B252" s="7" t="str">
        <f>IF(AND(ISNUMBER(H251),H251&gt;0),EDATE($C$10,237),"")</f>
        <v/>
      </c>
      <c r="C252" s="8" t="str">
        <f t="shared" si="15"/>
        <v/>
      </c>
      <c r="D252" s="9" t="str">
        <f t="shared" si="16"/>
        <v/>
      </c>
      <c r="E252" s="10" t="str">
        <f t="shared" si="17"/>
        <v/>
      </c>
      <c r="F252" s="26" t="str">
        <f t="shared" si="18"/>
        <v/>
      </c>
      <c r="G252" s="21"/>
      <c r="H252" s="11" t="str">
        <f t="shared" si="19"/>
        <v/>
      </c>
    </row>
    <row r="253" spans="1:8" ht="16.5" customHeight="1" x14ac:dyDescent="0.2">
      <c r="A253" s="12" t="str">
        <f>IF(AND(ISNUMBER(H252),H252&gt;0),238,"")</f>
        <v/>
      </c>
      <c r="B253" s="13" t="str">
        <f>IF(AND(ISNUMBER(H252),H252&gt;0),EDATE($C$10,238),"")</f>
        <v/>
      </c>
      <c r="C253" s="14" t="str">
        <f t="shared" si="15"/>
        <v/>
      </c>
      <c r="D253" s="15" t="str">
        <f t="shared" si="16"/>
        <v/>
      </c>
      <c r="E253" s="16" t="str">
        <f t="shared" si="17"/>
        <v/>
      </c>
      <c r="F253" s="27" t="str">
        <f t="shared" si="18"/>
        <v/>
      </c>
      <c r="G253" s="21"/>
      <c r="H253" s="17" t="str">
        <f t="shared" si="19"/>
        <v/>
      </c>
    </row>
    <row r="254" spans="1:8" ht="16.5" customHeight="1" x14ac:dyDescent="0.2">
      <c r="A254" s="6" t="str">
        <f>IF(AND(ISNUMBER(H253),H253&gt;0),239,"")</f>
        <v/>
      </c>
      <c r="B254" s="7" t="str">
        <f>IF(AND(ISNUMBER(H253),H253&gt;0),EDATE($C$10,239),"")</f>
        <v/>
      </c>
      <c r="C254" s="8" t="str">
        <f t="shared" si="15"/>
        <v/>
      </c>
      <c r="D254" s="9" t="str">
        <f t="shared" si="16"/>
        <v/>
      </c>
      <c r="E254" s="10" t="str">
        <f t="shared" si="17"/>
        <v/>
      </c>
      <c r="F254" s="26" t="str">
        <f t="shared" si="18"/>
        <v/>
      </c>
      <c r="G254" s="21"/>
      <c r="H254" s="11" t="str">
        <f t="shared" si="19"/>
        <v/>
      </c>
    </row>
    <row r="255" spans="1:8" ht="16.5" customHeight="1" x14ac:dyDescent="0.2">
      <c r="A255" s="12" t="str">
        <f>IF(AND(ISNUMBER(H254),H254&gt;0),240,"")</f>
        <v/>
      </c>
      <c r="B255" s="13" t="str">
        <f>IF(AND(ISNUMBER(H254),H254&gt;0),EDATE($C$10,240),"")</f>
        <v/>
      </c>
      <c r="C255" s="14" t="str">
        <f t="shared" si="15"/>
        <v/>
      </c>
      <c r="D255" s="15" t="str">
        <f t="shared" si="16"/>
        <v/>
      </c>
      <c r="E255" s="16" t="str">
        <f t="shared" si="17"/>
        <v/>
      </c>
      <c r="F255" s="27" t="str">
        <f t="shared" si="18"/>
        <v/>
      </c>
      <c r="G255" s="21"/>
      <c r="H255" s="17" t="str">
        <f t="shared" si="19"/>
        <v/>
      </c>
    </row>
    <row r="256" spans="1:8" ht="16.5" customHeight="1" x14ac:dyDescent="0.2">
      <c r="A256" s="6" t="str">
        <f>IF(AND(ISNUMBER(H255),H255&gt;0),241,"")</f>
        <v/>
      </c>
      <c r="B256" s="7" t="str">
        <f>IF(AND(ISNUMBER(H255),H255&gt;0),EDATE($C$10,241),"")</f>
        <v/>
      </c>
      <c r="C256" s="8" t="str">
        <f t="shared" si="15"/>
        <v/>
      </c>
      <c r="D256" s="9" t="str">
        <f t="shared" si="16"/>
        <v/>
      </c>
      <c r="E256" s="10" t="str">
        <f t="shared" si="17"/>
        <v/>
      </c>
      <c r="F256" s="26" t="str">
        <f t="shared" si="18"/>
        <v/>
      </c>
      <c r="G256" s="21"/>
      <c r="H256" s="11" t="str">
        <f t="shared" si="19"/>
        <v/>
      </c>
    </row>
    <row r="257" spans="1:8" ht="16.5" customHeight="1" x14ac:dyDescent="0.2">
      <c r="A257" s="12" t="str">
        <f>IF(AND(ISNUMBER(H256),H256&gt;0),242,"")</f>
        <v/>
      </c>
      <c r="B257" s="13" t="str">
        <f>IF(AND(ISNUMBER(H256),H256&gt;0),EDATE($C$10,242),"")</f>
        <v/>
      </c>
      <c r="C257" s="14" t="str">
        <f t="shared" si="15"/>
        <v/>
      </c>
      <c r="D257" s="15" t="str">
        <f t="shared" si="16"/>
        <v/>
      </c>
      <c r="E257" s="16" t="str">
        <f t="shared" si="17"/>
        <v/>
      </c>
      <c r="F257" s="27" t="str">
        <f t="shared" si="18"/>
        <v/>
      </c>
      <c r="G257" s="21"/>
      <c r="H257" s="17" t="str">
        <f t="shared" si="19"/>
        <v/>
      </c>
    </row>
    <row r="258" spans="1:8" ht="16.5" customHeight="1" x14ac:dyDescent="0.2">
      <c r="A258" s="6" t="str">
        <f>IF(AND(ISNUMBER(H257),H257&gt;0),243,"")</f>
        <v/>
      </c>
      <c r="B258" s="7" t="str">
        <f>IF(AND(ISNUMBER(H257),H257&gt;0),EDATE($C$10,243),"")</f>
        <v/>
      </c>
      <c r="C258" s="8" t="str">
        <f t="shared" si="15"/>
        <v/>
      </c>
      <c r="D258" s="9" t="str">
        <f t="shared" si="16"/>
        <v/>
      </c>
      <c r="E258" s="10" t="str">
        <f t="shared" si="17"/>
        <v/>
      </c>
      <c r="F258" s="26" t="str">
        <f t="shared" si="18"/>
        <v/>
      </c>
      <c r="G258" s="21"/>
      <c r="H258" s="11" t="str">
        <f t="shared" si="19"/>
        <v/>
      </c>
    </row>
    <row r="259" spans="1:8" ht="16.5" customHeight="1" x14ac:dyDescent="0.2">
      <c r="A259" s="12" t="str">
        <f>IF(AND(ISNUMBER(H258),H258&gt;0),244,"")</f>
        <v/>
      </c>
      <c r="B259" s="13" t="str">
        <f>IF(AND(ISNUMBER(H258),H258&gt;0),EDATE($C$10,244),"")</f>
        <v/>
      </c>
      <c r="C259" s="14" t="str">
        <f t="shared" si="15"/>
        <v/>
      </c>
      <c r="D259" s="15" t="str">
        <f t="shared" si="16"/>
        <v/>
      </c>
      <c r="E259" s="16" t="str">
        <f t="shared" si="17"/>
        <v/>
      </c>
      <c r="F259" s="27" t="str">
        <f t="shared" si="18"/>
        <v/>
      </c>
      <c r="G259" s="21"/>
      <c r="H259" s="17" t="str">
        <f t="shared" si="19"/>
        <v/>
      </c>
    </row>
    <row r="260" spans="1:8" ht="16.5" customHeight="1" x14ac:dyDescent="0.2">
      <c r="A260" s="6" t="str">
        <f>IF(AND(ISNUMBER(H259),H259&gt;0),245,"")</f>
        <v/>
      </c>
      <c r="B260" s="7" t="str">
        <f>IF(AND(ISNUMBER(H259),H259&gt;0),EDATE($C$10,245),"")</f>
        <v/>
      </c>
      <c r="C260" s="8" t="str">
        <f t="shared" si="15"/>
        <v/>
      </c>
      <c r="D260" s="9" t="str">
        <f t="shared" si="16"/>
        <v/>
      </c>
      <c r="E260" s="10" t="str">
        <f t="shared" si="17"/>
        <v/>
      </c>
      <c r="F260" s="26" t="str">
        <f t="shared" si="18"/>
        <v/>
      </c>
      <c r="G260" s="21"/>
      <c r="H260" s="11" t="str">
        <f t="shared" si="19"/>
        <v/>
      </c>
    </row>
    <row r="261" spans="1:8" ht="16.5" customHeight="1" x14ac:dyDescent="0.2">
      <c r="A261" s="12" t="str">
        <f>IF(AND(ISNUMBER(H260),H260&gt;0),246,"")</f>
        <v/>
      </c>
      <c r="B261" s="13" t="str">
        <f>IF(AND(ISNUMBER(H260),H260&gt;0),EDATE($C$10,246),"")</f>
        <v/>
      </c>
      <c r="C261" s="14" t="str">
        <f t="shared" si="15"/>
        <v/>
      </c>
      <c r="D261" s="15" t="str">
        <f t="shared" si="16"/>
        <v/>
      </c>
      <c r="E261" s="16" t="str">
        <f t="shared" si="17"/>
        <v/>
      </c>
      <c r="F261" s="27" t="str">
        <f t="shared" si="18"/>
        <v/>
      </c>
      <c r="G261" s="21"/>
      <c r="H261" s="17" t="str">
        <f t="shared" si="19"/>
        <v/>
      </c>
    </row>
    <row r="262" spans="1:8" ht="16.5" customHeight="1" x14ac:dyDescent="0.2">
      <c r="A262" s="6" t="str">
        <f>IF(AND(ISNUMBER(H261),H261&gt;0),247,"")</f>
        <v/>
      </c>
      <c r="B262" s="7" t="str">
        <f>IF(AND(ISNUMBER(H261),H261&gt;0),EDATE($C$10,247),"")</f>
        <v/>
      </c>
      <c r="C262" s="8" t="str">
        <f t="shared" si="15"/>
        <v/>
      </c>
      <c r="D262" s="9" t="str">
        <f t="shared" si="16"/>
        <v/>
      </c>
      <c r="E262" s="10" t="str">
        <f t="shared" si="17"/>
        <v/>
      </c>
      <c r="F262" s="26" t="str">
        <f t="shared" si="18"/>
        <v/>
      </c>
      <c r="G262" s="21"/>
      <c r="H262" s="11" t="str">
        <f t="shared" si="19"/>
        <v/>
      </c>
    </row>
    <row r="263" spans="1:8" ht="16.5" customHeight="1" x14ac:dyDescent="0.2">
      <c r="A263" s="12" t="str">
        <f>IF(AND(ISNUMBER(H262),H262&gt;0),248,"")</f>
        <v/>
      </c>
      <c r="B263" s="13" t="str">
        <f>IF(AND(ISNUMBER(H262),H262&gt;0),EDATE($C$10,248),"")</f>
        <v/>
      </c>
      <c r="C263" s="14" t="str">
        <f t="shared" si="15"/>
        <v/>
      </c>
      <c r="D263" s="15" t="str">
        <f t="shared" si="16"/>
        <v/>
      </c>
      <c r="E263" s="16" t="str">
        <f t="shared" si="17"/>
        <v/>
      </c>
      <c r="F263" s="27" t="str">
        <f t="shared" si="18"/>
        <v/>
      </c>
      <c r="G263" s="21"/>
      <c r="H263" s="17" t="str">
        <f t="shared" si="19"/>
        <v/>
      </c>
    </row>
    <row r="264" spans="1:8" ht="16.5" customHeight="1" x14ac:dyDescent="0.2">
      <c r="A264" s="6" t="str">
        <f>IF(AND(ISNUMBER(H263),H263&gt;0),249,"")</f>
        <v/>
      </c>
      <c r="B264" s="7" t="str">
        <f>IF(AND(ISNUMBER(H263),H263&gt;0),EDATE($C$10,249),"")</f>
        <v/>
      </c>
      <c r="C264" s="8" t="str">
        <f t="shared" si="15"/>
        <v/>
      </c>
      <c r="D264" s="9" t="str">
        <f t="shared" si="16"/>
        <v/>
      </c>
      <c r="E264" s="10" t="str">
        <f t="shared" si="17"/>
        <v/>
      </c>
      <c r="F264" s="26" t="str">
        <f t="shared" si="18"/>
        <v/>
      </c>
      <c r="G264" s="21"/>
      <c r="H264" s="11" t="str">
        <f t="shared" si="19"/>
        <v/>
      </c>
    </row>
    <row r="265" spans="1:8" ht="16.5" customHeight="1" x14ac:dyDescent="0.2">
      <c r="A265" s="12" t="str">
        <f>IF(AND(ISNUMBER(H264),H264&gt;0),250,"")</f>
        <v/>
      </c>
      <c r="B265" s="13" t="str">
        <f>IF(AND(ISNUMBER(H264),H264&gt;0),EDATE($C$10,250),"")</f>
        <v/>
      </c>
      <c r="C265" s="14" t="str">
        <f t="shared" si="15"/>
        <v/>
      </c>
      <c r="D265" s="15" t="str">
        <f t="shared" si="16"/>
        <v/>
      </c>
      <c r="E265" s="16" t="str">
        <f t="shared" si="17"/>
        <v/>
      </c>
      <c r="F265" s="27" t="str">
        <f t="shared" si="18"/>
        <v/>
      </c>
      <c r="G265" s="21"/>
      <c r="H265" s="17" t="str">
        <f t="shared" si="19"/>
        <v/>
      </c>
    </row>
    <row r="266" spans="1:8" ht="16.5" customHeight="1" x14ac:dyDescent="0.2">
      <c r="A266" s="6" t="str">
        <f>IF(AND(ISNUMBER(H265),H265&gt;0),251,"")</f>
        <v/>
      </c>
      <c r="B266" s="7" t="str">
        <f>IF(AND(ISNUMBER(H265),H265&gt;0),EDATE($C$10,251),"")</f>
        <v/>
      </c>
      <c r="C266" s="8" t="str">
        <f t="shared" si="15"/>
        <v/>
      </c>
      <c r="D266" s="9" t="str">
        <f t="shared" si="16"/>
        <v/>
      </c>
      <c r="E266" s="10" t="str">
        <f t="shared" si="17"/>
        <v/>
      </c>
      <c r="F266" s="26" t="str">
        <f t="shared" si="18"/>
        <v/>
      </c>
      <c r="G266" s="21"/>
      <c r="H266" s="11" t="str">
        <f t="shared" si="19"/>
        <v/>
      </c>
    </row>
    <row r="267" spans="1:8" ht="16.5" customHeight="1" x14ac:dyDescent="0.2">
      <c r="A267" s="12" t="str">
        <f>IF(AND(ISNUMBER(H266),H266&gt;0),252,"")</f>
        <v/>
      </c>
      <c r="B267" s="13" t="str">
        <f>IF(AND(ISNUMBER(H266),H266&gt;0),EDATE($C$10,252),"")</f>
        <v/>
      </c>
      <c r="C267" s="14" t="str">
        <f t="shared" si="15"/>
        <v/>
      </c>
      <c r="D267" s="15" t="str">
        <f t="shared" si="16"/>
        <v/>
      </c>
      <c r="E267" s="16" t="str">
        <f t="shared" si="17"/>
        <v/>
      </c>
      <c r="F267" s="27" t="str">
        <f t="shared" si="18"/>
        <v/>
      </c>
      <c r="G267" s="21"/>
      <c r="H267" s="17" t="str">
        <f t="shared" si="19"/>
        <v/>
      </c>
    </row>
    <row r="268" spans="1:8" ht="16.5" customHeight="1" x14ac:dyDescent="0.2">
      <c r="A268" s="6" t="str">
        <f>IF(AND(ISNUMBER(H267),H267&gt;0),253,"")</f>
        <v/>
      </c>
      <c r="B268" s="7" t="str">
        <f>IF(AND(ISNUMBER(H267),H267&gt;0),EDATE($C$10,253),"")</f>
        <v/>
      </c>
      <c r="C268" s="8" t="str">
        <f t="shared" si="15"/>
        <v/>
      </c>
      <c r="D268" s="9" t="str">
        <f t="shared" si="16"/>
        <v/>
      </c>
      <c r="E268" s="10" t="str">
        <f t="shared" si="17"/>
        <v/>
      </c>
      <c r="F268" s="26" t="str">
        <f t="shared" si="18"/>
        <v/>
      </c>
      <c r="G268" s="21"/>
      <c r="H268" s="11" t="str">
        <f t="shared" si="19"/>
        <v/>
      </c>
    </row>
    <row r="269" spans="1:8" ht="16.5" customHeight="1" x14ac:dyDescent="0.2">
      <c r="A269" s="12" t="str">
        <f>IF(AND(ISNUMBER(H268),H268&gt;0),254,"")</f>
        <v/>
      </c>
      <c r="B269" s="13" t="str">
        <f>IF(AND(ISNUMBER(H268),H268&gt;0),EDATE($C$10,254),"")</f>
        <v/>
      </c>
      <c r="C269" s="14" t="str">
        <f t="shared" si="15"/>
        <v/>
      </c>
      <c r="D269" s="15" t="str">
        <f t="shared" si="16"/>
        <v/>
      </c>
      <c r="E269" s="16" t="str">
        <f t="shared" si="17"/>
        <v/>
      </c>
      <c r="F269" s="27" t="str">
        <f t="shared" si="18"/>
        <v/>
      </c>
      <c r="G269" s="21"/>
      <c r="H269" s="17" t="str">
        <f t="shared" si="19"/>
        <v/>
      </c>
    </row>
    <row r="270" spans="1:8" ht="16.5" customHeight="1" x14ac:dyDescent="0.2">
      <c r="A270" s="6" t="str">
        <f>IF(AND(ISNUMBER(H269),H269&gt;0),255,"")</f>
        <v/>
      </c>
      <c r="B270" s="7" t="str">
        <f>IF(AND(ISNUMBER(H269),H269&gt;0),EDATE($C$10,255),"")</f>
        <v/>
      </c>
      <c r="C270" s="8" t="str">
        <f t="shared" si="15"/>
        <v/>
      </c>
      <c r="D270" s="9" t="str">
        <f t="shared" si="16"/>
        <v/>
      </c>
      <c r="E270" s="10" t="str">
        <f t="shared" si="17"/>
        <v/>
      </c>
      <c r="F270" s="26" t="str">
        <f t="shared" si="18"/>
        <v/>
      </c>
      <c r="G270" s="21"/>
      <c r="H270" s="11" t="str">
        <f t="shared" si="19"/>
        <v/>
      </c>
    </row>
    <row r="271" spans="1:8" ht="16.5" customHeight="1" x14ac:dyDescent="0.2">
      <c r="A271" s="12" t="str">
        <f>IF(AND(ISNUMBER(H270),H270&gt;0),256,"")</f>
        <v/>
      </c>
      <c r="B271" s="13" t="str">
        <f>IF(AND(ISNUMBER(H270),H270&gt;0),EDATE($C$10,256),"")</f>
        <v/>
      </c>
      <c r="C271" s="14" t="str">
        <f t="shared" si="15"/>
        <v/>
      </c>
      <c r="D271" s="15" t="str">
        <f t="shared" si="16"/>
        <v/>
      </c>
      <c r="E271" s="16" t="str">
        <f t="shared" si="17"/>
        <v/>
      </c>
      <c r="F271" s="27" t="str">
        <f t="shared" si="18"/>
        <v/>
      </c>
      <c r="G271" s="21"/>
      <c r="H271" s="17" t="str">
        <f t="shared" si="19"/>
        <v/>
      </c>
    </row>
    <row r="272" spans="1:8" ht="16.5" customHeight="1" x14ac:dyDescent="0.2">
      <c r="A272" s="6" t="str">
        <f>IF(AND(ISNUMBER(H271),H271&gt;0),257,"")</f>
        <v/>
      </c>
      <c r="B272" s="7" t="str">
        <f>IF(AND(ISNUMBER(H271),H271&gt;0),EDATE($C$10,257),"")</f>
        <v/>
      </c>
      <c r="C272" s="8" t="str">
        <f t="shared" si="15"/>
        <v/>
      </c>
      <c r="D272" s="9" t="str">
        <f t="shared" si="16"/>
        <v/>
      </c>
      <c r="E272" s="10" t="str">
        <f t="shared" si="17"/>
        <v/>
      </c>
      <c r="F272" s="26" t="str">
        <f t="shared" si="18"/>
        <v/>
      </c>
      <c r="G272" s="21"/>
      <c r="H272" s="11" t="str">
        <f t="shared" si="19"/>
        <v/>
      </c>
    </row>
    <row r="273" spans="1:8" ht="16.5" customHeight="1" x14ac:dyDescent="0.2">
      <c r="A273" s="12" t="str">
        <f>IF(AND(ISNUMBER(H272),H272&gt;0),258,"")</f>
        <v/>
      </c>
      <c r="B273" s="13" t="str">
        <f>IF(AND(ISNUMBER(H272),H272&gt;0),EDATE($C$10,258),"")</f>
        <v/>
      </c>
      <c r="C273" s="14" t="str">
        <f t="shared" ref="C273:C336" si="20">IF(AND(ISNUMBER(H272),H272&gt;0),H272,"")</f>
        <v/>
      </c>
      <c r="D273" s="15" t="str">
        <f t="shared" ref="D273:D336" si="21">IFERROR(IF(AND(ISNUMBER(H272),H272&gt;0),ROUND(C273*$C$8/12,2),""),"")</f>
        <v/>
      </c>
      <c r="E273" s="16" t="str">
        <f t="shared" ref="E273:E336" si="22">IFERROR(IF(AND(ISNUMBER(H272),H272&gt;0),C273-H273,""),"")</f>
        <v/>
      </c>
      <c r="F273" s="27" t="str">
        <f t="shared" ref="F273:F336" si="23">IFERROR(IF(AND(ISNUMBER(H272),H272&gt;0),MIN($C$9,C273+D273),""),"")</f>
        <v/>
      </c>
      <c r="G273" s="21"/>
      <c r="H273" s="17" t="str">
        <f t="shared" ref="H273:H336" si="24">IFERROR(IF(AND(ISNUMBER(H272),H272&gt;0),MAX(0,C273+D273-F273-IFERROR(G273*1,0)),""),"")</f>
        <v/>
      </c>
    </row>
    <row r="274" spans="1:8" ht="16.5" customHeight="1" x14ac:dyDescent="0.2">
      <c r="A274" s="6" t="str">
        <f>IF(AND(ISNUMBER(H273),H273&gt;0),259,"")</f>
        <v/>
      </c>
      <c r="B274" s="7" t="str">
        <f>IF(AND(ISNUMBER(H273),H273&gt;0),EDATE($C$10,259),"")</f>
        <v/>
      </c>
      <c r="C274" s="8" t="str">
        <f t="shared" si="20"/>
        <v/>
      </c>
      <c r="D274" s="9" t="str">
        <f t="shared" si="21"/>
        <v/>
      </c>
      <c r="E274" s="10" t="str">
        <f t="shared" si="22"/>
        <v/>
      </c>
      <c r="F274" s="26" t="str">
        <f t="shared" si="23"/>
        <v/>
      </c>
      <c r="G274" s="21"/>
      <c r="H274" s="11" t="str">
        <f t="shared" si="24"/>
        <v/>
      </c>
    </row>
    <row r="275" spans="1:8" ht="16.5" customHeight="1" x14ac:dyDescent="0.2">
      <c r="A275" s="12" t="str">
        <f>IF(AND(ISNUMBER(H274),H274&gt;0),260,"")</f>
        <v/>
      </c>
      <c r="B275" s="13" t="str">
        <f>IF(AND(ISNUMBER(H274),H274&gt;0),EDATE($C$10,260),"")</f>
        <v/>
      </c>
      <c r="C275" s="14" t="str">
        <f t="shared" si="20"/>
        <v/>
      </c>
      <c r="D275" s="15" t="str">
        <f t="shared" si="21"/>
        <v/>
      </c>
      <c r="E275" s="16" t="str">
        <f t="shared" si="22"/>
        <v/>
      </c>
      <c r="F275" s="27" t="str">
        <f t="shared" si="23"/>
        <v/>
      </c>
      <c r="G275" s="21"/>
      <c r="H275" s="17" t="str">
        <f t="shared" si="24"/>
        <v/>
      </c>
    </row>
    <row r="276" spans="1:8" ht="16.5" customHeight="1" x14ac:dyDescent="0.2">
      <c r="A276" s="6" t="str">
        <f>IF(AND(ISNUMBER(H275),H275&gt;0),261,"")</f>
        <v/>
      </c>
      <c r="B276" s="7" t="str">
        <f>IF(AND(ISNUMBER(H275),H275&gt;0),EDATE($C$10,261),"")</f>
        <v/>
      </c>
      <c r="C276" s="8" t="str">
        <f t="shared" si="20"/>
        <v/>
      </c>
      <c r="D276" s="9" t="str">
        <f t="shared" si="21"/>
        <v/>
      </c>
      <c r="E276" s="10" t="str">
        <f t="shared" si="22"/>
        <v/>
      </c>
      <c r="F276" s="26" t="str">
        <f t="shared" si="23"/>
        <v/>
      </c>
      <c r="G276" s="21"/>
      <c r="H276" s="11" t="str">
        <f t="shared" si="24"/>
        <v/>
      </c>
    </row>
    <row r="277" spans="1:8" ht="16.5" customHeight="1" x14ac:dyDescent="0.2">
      <c r="A277" s="12" t="str">
        <f>IF(AND(ISNUMBER(H276),H276&gt;0),262,"")</f>
        <v/>
      </c>
      <c r="B277" s="13" t="str">
        <f>IF(AND(ISNUMBER(H276),H276&gt;0),EDATE($C$10,262),"")</f>
        <v/>
      </c>
      <c r="C277" s="14" t="str">
        <f t="shared" si="20"/>
        <v/>
      </c>
      <c r="D277" s="15" t="str">
        <f t="shared" si="21"/>
        <v/>
      </c>
      <c r="E277" s="16" t="str">
        <f t="shared" si="22"/>
        <v/>
      </c>
      <c r="F277" s="27" t="str">
        <f t="shared" si="23"/>
        <v/>
      </c>
      <c r="G277" s="21"/>
      <c r="H277" s="17" t="str">
        <f t="shared" si="24"/>
        <v/>
      </c>
    </row>
    <row r="278" spans="1:8" ht="16.5" customHeight="1" x14ac:dyDescent="0.2">
      <c r="A278" s="6" t="str">
        <f>IF(AND(ISNUMBER(H277),H277&gt;0),263,"")</f>
        <v/>
      </c>
      <c r="B278" s="7" t="str">
        <f>IF(AND(ISNUMBER(H277),H277&gt;0),EDATE($C$10,263),"")</f>
        <v/>
      </c>
      <c r="C278" s="8" t="str">
        <f t="shared" si="20"/>
        <v/>
      </c>
      <c r="D278" s="9" t="str">
        <f t="shared" si="21"/>
        <v/>
      </c>
      <c r="E278" s="10" t="str">
        <f t="shared" si="22"/>
        <v/>
      </c>
      <c r="F278" s="26" t="str">
        <f t="shared" si="23"/>
        <v/>
      </c>
      <c r="G278" s="21"/>
      <c r="H278" s="11" t="str">
        <f t="shared" si="24"/>
        <v/>
      </c>
    </row>
    <row r="279" spans="1:8" ht="16.5" customHeight="1" x14ac:dyDescent="0.2">
      <c r="A279" s="12" t="str">
        <f>IF(AND(ISNUMBER(H278),H278&gt;0),264,"")</f>
        <v/>
      </c>
      <c r="B279" s="13" t="str">
        <f>IF(AND(ISNUMBER(H278),H278&gt;0),EDATE($C$10,264),"")</f>
        <v/>
      </c>
      <c r="C279" s="14" t="str">
        <f t="shared" si="20"/>
        <v/>
      </c>
      <c r="D279" s="15" t="str">
        <f t="shared" si="21"/>
        <v/>
      </c>
      <c r="E279" s="16" t="str">
        <f t="shared" si="22"/>
        <v/>
      </c>
      <c r="F279" s="27" t="str">
        <f t="shared" si="23"/>
        <v/>
      </c>
      <c r="G279" s="21"/>
      <c r="H279" s="17" t="str">
        <f t="shared" si="24"/>
        <v/>
      </c>
    </row>
    <row r="280" spans="1:8" ht="16.5" customHeight="1" x14ac:dyDescent="0.2">
      <c r="A280" s="6" t="str">
        <f>IF(AND(ISNUMBER(H279),H279&gt;0),265,"")</f>
        <v/>
      </c>
      <c r="B280" s="7" t="str">
        <f>IF(AND(ISNUMBER(H279),H279&gt;0),EDATE($C$10,265),"")</f>
        <v/>
      </c>
      <c r="C280" s="8" t="str">
        <f t="shared" si="20"/>
        <v/>
      </c>
      <c r="D280" s="9" t="str">
        <f t="shared" si="21"/>
        <v/>
      </c>
      <c r="E280" s="10" t="str">
        <f t="shared" si="22"/>
        <v/>
      </c>
      <c r="F280" s="26" t="str">
        <f t="shared" si="23"/>
        <v/>
      </c>
      <c r="G280" s="21"/>
      <c r="H280" s="11" t="str">
        <f t="shared" si="24"/>
        <v/>
      </c>
    </row>
    <row r="281" spans="1:8" ht="16.5" customHeight="1" x14ac:dyDescent="0.2">
      <c r="A281" s="12" t="str">
        <f>IF(AND(ISNUMBER(H280),H280&gt;0),266,"")</f>
        <v/>
      </c>
      <c r="B281" s="13" t="str">
        <f>IF(AND(ISNUMBER(H280),H280&gt;0),EDATE($C$10,266),"")</f>
        <v/>
      </c>
      <c r="C281" s="14" t="str">
        <f t="shared" si="20"/>
        <v/>
      </c>
      <c r="D281" s="15" t="str">
        <f t="shared" si="21"/>
        <v/>
      </c>
      <c r="E281" s="16" t="str">
        <f t="shared" si="22"/>
        <v/>
      </c>
      <c r="F281" s="27" t="str">
        <f t="shared" si="23"/>
        <v/>
      </c>
      <c r="G281" s="21"/>
      <c r="H281" s="17" t="str">
        <f t="shared" si="24"/>
        <v/>
      </c>
    </row>
    <row r="282" spans="1:8" ht="16.5" customHeight="1" x14ac:dyDescent="0.2">
      <c r="A282" s="6" t="str">
        <f>IF(AND(ISNUMBER(H281),H281&gt;0),267,"")</f>
        <v/>
      </c>
      <c r="B282" s="7" t="str">
        <f>IF(AND(ISNUMBER(H281),H281&gt;0),EDATE($C$10,267),"")</f>
        <v/>
      </c>
      <c r="C282" s="8" t="str">
        <f t="shared" si="20"/>
        <v/>
      </c>
      <c r="D282" s="9" t="str">
        <f t="shared" si="21"/>
        <v/>
      </c>
      <c r="E282" s="10" t="str">
        <f t="shared" si="22"/>
        <v/>
      </c>
      <c r="F282" s="26" t="str">
        <f t="shared" si="23"/>
        <v/>
      </c>
      <c r="G282" s="21"/>
      <c r="H282" s="11" t="str">
        <f t="shared" si="24"/>
        <v/>
      </c>
    </row>
    <row r="283" spans="1:8" ht="16.5" customHeight="1" x14ac:dyDescent="0.2">
      <c r="A283" s="12" t="str">
        <f>IF(AND(ISNUMBER(H282),H282&gt;0),268,"")</f>
        <v/>
      </c>
      <c r="B283" s="13" t="str">
        <f>IF(AND(ISNUMBER(H282),H282&gt;0),EDATE($C$10,268),"")</f>
        <v/>
      </c>
      <c r="C283" s="14" t="str">
        <f t="shared" si="20"/>
        <v/>
      </c>
      <c r="D283" s="15" t="str">
        <f t="shared" si="21"/>
        <v/>
      </c>
      <c r="E283" s="16" t="str">
        <f t="shared" si="22"/>
        <v/>
      </c>
      <c r="F283" s="27" t="str">
        <f t="shared" si="23"/>
        <v/>
      </c>
      <c r="G283" s="21"/>
      <c r="H283" s="17" t="str">
        <f t="shared" si="24"/>
        <v/>
      </c>
    </row>
    <row r="284" spans="1:8" ht="16.5" customHeight="1" x14ac:dyDescent="0.2">
      <c r="A284" s="6" t="str">
        <f>IF(AND(ISNUMBER(H283),H283&gt;0),269,"")</f>
        <v/>
      </c>
      <c r="B284" s="7" t="str">
        <f>IF(AND(ISNUMBER(H283),H283&gt;0),EDATE($C$10,269),"")</f>
        <v/>
      </c>
      <c r="C284" s="8" t="str">
        <f t="shared" si="20"/>
        <v/>
      </c>
      <c r="D284" s="9" t="str">
        <f t="shared" si="21"/>
        <v/>
      </c>
      <c r="E284" s="10" t="str">
        <f t="shared" si="22"/>
        <v/>
      </c>
      <c r="F284" s="26" t="str">
        <f t="shared" si="23"/>
        <v/>
      </c>
      <c r="G284" s="21"/>
      <c r="H284" s="11" t="str">
        <f t="shared" si="24"/>
        <v/>
      </c>
    </row>
    <row r="285" spans="1:8" ht="16.5" customHeight="1" x14ac:dyDescent="0.2">
      <c r="A285" s="12" t="str">
        <f>IF(AND(ISNUMBER(H284),H284&gt;0),270,"")</f>
        <v/>
      </c>
      <c r="B285" s="13" t="str">
        <f>IF(AND(ISNUMBER(H284),H284&gt;0),EDATE($C$10,270),"")</f>
        <v/>
      </c>
      <c r="C285" s="14" t="str">
        <f t="shared" si="20"/>
        <v/>
      </c>
      <c r="D285" s="15" t="str">
        <f t="shared" si="21"/>
        <v/>
      </c>
      <c r="E285" s="16" t="str">
        <f t="shared" si="22"/>
        <v/>
      </c>
      <c r="F285" s="27" t="str">
        <f t="shared" si="23"/>
        <v/>
      </c>
      <c r="G285" s="21"/>
      <c r="H285" s="17" t="str">
        <f t="shared" si="24"/>
        <v/>
      </c>
    </row>
    <row r="286" spans="1:8" ht="16.5" customHeight="1" x14ac:dyDescent="0.2">
      <c r="A286" s="6" t="str">
        <f>IF(AND(ISNUMBER(H285),H285&gt;0),271,"")</f>
        <v/>
      </c>
      <c r="B286" s="7" t="str">
        <f>IF(AND(ISNUMBER(H285),H285&gt;0),EDATE($C$10,271),"")</f>
        <v/>
      </c>
      <c r="C286" s="8" t="str">
        <f t="shared" si="20"/>
        <v/>
      </c>
      <c r="D286" s="9" t="str">
        <f t="shared" si="21"/>
        <v/>
      </c>
      <c r="E286" s="10" t="str">
        <f t="shared" si="22"/>
        <v/>
      </c>
      <c r="F286" s="26" t="str">
        <f t="shared" si="23"/>
        <v/>
      </c>
      <c r="G286" s="21"/>
      <c r="H286" s="11" t="str">
        <f t="shared" si="24"/>
        <v/>
      </c>
    </row>
    <row r="287" spans="1:8" ht="16.5" customHeight="1" x14ac:dyDescent="0.2">
      <c r="A287" s="12" t="str">
        <f>IF(AND(ISNUMBER(H286),H286&gt;0),272,"")</f>
        <v/>
      </c>
      <c r="B287" s="13" t="str">
        <f>IF(AND(ISNUMBER(H286),H286&gt;0),EDATE($C$10,272),"")</f>
        <v/>
      </c>
      <c r="C287" s="14" t="str">
        <f t="shared" si="20"/>
        <v/>
      </c>
      <c r="D287" s="15" t="str">
        <f t="shared" si="21"/>
        <v/>
      </c>
      <c r="E287" s="16" t="str">
        <f t="shared" si="22"/>
        <v/>
      </c>
      <c r="F287" s="27" t="str">
        <f t="shared" si="23"/>
        <v/>
      </c>
      <c r="G287" s="21"/>
      <c r="H287" s="17" t="str">
        <f t="shared" si="24"/>
        <v/>
      </c>
    </row>
    <row r="288" spans="1:8" ht="16.5" customHeight="1" x14ac:dyDescent="0.2">
      <c r="A288" s="6" t="str">
        <f>IF(AND(ISNUMBER(H287),H287&gt;0),273,"")</f>
        <v/>
      </c>
      <c r="B288" s="7" t="str">
        <f>IF(AND(ISNUMBER(H287),H287&gt;0),EDATE($C$10,273),"")</f>
        <v/>
      </c>
      <c r="C288" s="8" t="str">
        <f t="shared" si="20"/>
        <v/>
      </c>
      <c r="D288" s="9" t="str">
        <f t="shared" si="21"/>
        <v/>
      </c>
      <c r="E288" s="10" t="str">
        <f t="shared" si="22"/>
        <v/>
      </c>
      <c r="F288" s="26" t="str">
        <f t="shared" si="23"/>
        <v/>
      </c>
      <c r="G288" s="21"/>
      <c r="H288" s="11" t="str">
        <f t="shared" si="24"/>
        <v/>
      </c>
    </row>
    <row r="289" spans="1:8" ht="16.5" customHeight="1" x14ac:dyDescent="0.2">
      <c r="A289" s="12" t="str">
        <f>IF(AND(ISNUMBER(H288),H288&gt;0),274,"")</f>
        <v/>
      </c>
      <c r="B289" s="13" t="str">
        <f>IF(AND(ISNUMBER(H288),H288&gt;0),EDATE($C$10,274),"")</f>
        <v/>
      </c>
      <c r="C289" s="14" t="str">
        <f t="shared" si="20"/>
        <v/>
      </c>
      <c r="D289" s="15" t="str">
        <f t="shared" si="21"/>
        <v/>
      </c>
      <c r="E289" s="16" t="str">
        <f t="shared" si="22"/>
        <v/>
      </c>
      <c r="F289" s="27" t="str">
        <f t="shared" si="23"/>
        <v/>
      </c>
      <c r="G289" s="21"/>
      <c r="H289" s="17" t="str">
        <f t="shared" si="24"/>
        <v/>
      </c>
    </row>
    <row r="290" spans="1:8" ht="16.5" customHeight="1" x14ac:dyDescent="0.2">
      <c r="A290" s="6" t="str">
        <f>IF(AND(ISNUMBER(H289),H289&gt;0),275,"")</f>
        <v/>
      </c>
      <c r="B290" s="7" t="str">
        <f>IF(AND(ISNUMBER(H289),H289&gt;0),EDATE($C$10,275),"")</f>
        <v/>
      </c>
      <c r="C290" s="8" t="str">
        <f t="shared" si="20"/>
        <v/>
      </c>
      <c r="D290" s="9" t="str">
        <f t="shared" si="21"/>
        <v/>
      </c>
      <c r="E290" s="10" t="str">
        <f t="shared" si="22"/>
        <v/>
      </c>
      <c r="F290" s="26" t="str">
        <f t="shared" si="23"/>
        <v/>
      </c>
      <c r="G290" s="21"/>
      <c r="H290" s="11" t="str">
        <f t="shared" si="24"/>
        <v/>
      </c>
    </row>
    <row r="291" spans="1:8" ht="16.5" customHeight="1" x14ac:dyDescent="0.2">
      <c r="A291" s="12" t="str">
        <f>IF(AND(ISNUMBER(H290),H290&gt;0),276,"")</f>
        <v/>
      </c>
      <c r="B291" s="13" t="str">
        <f>IF(AND(ISNUMBER(H290),H290&gt;0),EDATE($C$10,276),"")</f>
        <v/>
      </c>
      <c r="C291" s="14" t="str">
        <f t="shared" si="20"/>
        <v/>
      </c>
      <c r="D291" s="15" t="str">
        <f t="shared" si="21"/>
        <v/>
      </c>
      <c r="E291" s="16" t="str">
        <f t="shared" si="22"/>
        <v/>
      </c>
      <c r="F291" s="27" t="str">
        <f t="shared" si="23"/>
        <v/>
      </c>
      <c r="G291" s="21"/>
      <c r="H291" s="17" t="str">
        <f t="shared" si="24"/>
        <v/>
      </c>
    </row>
    <row r="292" spans="1:8" ht="16.5" customHeight="1" x14ac:dyDescent="0.2">
      <c r="A292" s="6" t="str">
        <f>IF(AND(ISNUMBER(H291),H291&gt;0),277,"")</f>
        <v/>
      </c>
      <c r="B292" s="7" t="str">
        <f>IF(AND(ISNUMBER(H291),H291&gt;0),EDATE($C$10,277),"")</f>
        <v/>
      </c>
      <c r="C292" s="8" t="str">
        <f t="shared" si="20"/>
        <v/>
      </c>
      <c r="D292" s="9" t="str">
        <f t="shared" si="21"/>
        <v/>
      </c>
      <c r="E292" s="10" t="str">
        <f t="shared" si="22"/>
        <v/>
      </c>
      <c r="F292" s="26" t="str">
        <f t="shared" si="23"/>
        <v/>
      </c>
      <c r="G292" s="21"/>
      <c r="H292" s="11" t="str">
        <f t="shared" si="24"/>
        <v/>
      </c>
    </row>
    <row r="293" spans="1:8" ht="16.5" customHeight="1" x14ac:dyDescent="0.2">
      <c r="A293" s="12" t="str">
        <f>IF(AND(ISNUMBER(H292),H292&gt;0),278,"")</f>
        <v/>
      </c>
      <c r="B293" s="13" t="str">
        <f>IF(AND(ISNUMBER(H292),H292&gt;0),EDATE($C$10,278),"")</f>
        <v/>
      </c>
      <c r="C293" s="14" t="str">
        <f t="shared" si="20"/>
        <v/>
      </c>
      <c r="D293" s="15" t="str">
        <f t="shared" si="21"/>
        <v/>
      </c>
      <c r="E293" s="16" t="str">
        <f t="shared" si="22"/>
        <v/>
      </c>
      <c r="F293" s="27" t="str">
        <f t="shared" si="23"/>
        <v/>
      </c>
      <c r="G293" s="21"/>
      <c r="H293" s="17" t="str">
        <f t="shared" si="24"/>
        <v/>
      </c>
    </row>
    <row r="294" spans="1:8" ht="16.5" customHeight="1" x14ac:dyDescent="0.2">
      <c r="A294" s="6" t="str">
        <f>IF(AND(ISNUMBER(H293),H293&gt;0),279,"")</f>
        <v/>
      </c>
      <c r="B294" s="7" t="str">
        <f>IF(AND(ISNUMBER(H293),H293&gt;0),EDATE($C$10,279),"")</f>
        <v/>
      </c>
      <c r="C294" s="8" t="str">
        <f t="shared" si="20"/>
        <v/>
      </c>
      <c r="D294" s="9" t="str">
        <f t="shared" si="21"/>
        <v/>
      </c>
      <c r="E294" s="10" t="str">
        <f t="shared" si="22"/>
        <v/>
      </c>
      <c r="F294" s="26" t="str">
        <f t="shared" si="23"/>
        <v/>
      </c>
      <c r="G294" s="21"/>
      <c r="H294" s="11" t="str">
        <f t="shared" si="24"/>
        <v/>
      </c>
    </row>
    <row r="295" spans="1:8" ht="16.5" customHeight="1" x14ac:dyDescent="0.2">
      <c r="A295" s="12" t="str">
        <f>IF(AND(ISNUMBER(H294),H294&gt;0),280,"")</f>
        <v/>
      </c>
      <c r="B295" s="13" t="str">
        <f>IF(AND(ISNUMBER(H294),H294&gt;0),EDATE($C$10,280),"")</f>
        <v/>
      </c>
      <c r="C295" s="14" t="str">
        <f t="shared" si="20"/>
        <v/>
      </c>
      <c r="D295" s="15" t="str">
        <f t="shared" si="21"/>
        <v/>
      </c>
      <c r="E295" s="16" t="str">
        <f t="shared" si="22"/>
        <v/>
      </c>
      <c r="F295" s="27" t="str">
        <f t="shared" si="23"/>
        <v/>
      </c>
      <c r="G295" s="21"/>
      <c r="H295" s="17" t="str">
        <f t="shared" si="24"/>
        <v/>
      </c>
    </row>
    <row r="296" spans="1:8" ht="16.5" customHeight="1" x14ac:dyDescent="0.2">
      <c r="A296" s="6" t="str">
        <f>IF(AND(ISNUMBER(H295),H295&gt;0),281,"")</f>
        <v/>
      </c>
      <c r="B296" s="7" t="str">
        <f>IF(AND(ISNUMBER(H295),H295&gt;0),EDATE($C$10,281),"")</f>
        <v/>
      </c>
      <c r="C296" s="8" t="str">
        <f t="shared" si="20"/>
        <v/>
      </c>
      <c r="D296" s="9" t="str">
        <f t="shared" si="21"/>
        <v/>
      </c>
      <c r="E296" s="10" t="str">
        <f t="shared" si="22"/>
        <v/>
      </c>
      <c r="F296" s="26" t="str">
        <f t="shared" si="23"/>
        <v/>
      </c>
      <c r="G296" s="21"/>
      <c r="H296" s="11" t="str">
        <f t="shared" si="24"/>
        <v/>
      </c>
    </row>
    <row r="297" spans="1:8" ht="16.5" customHeight="1" x14ac:dyDescent="0.2">
      <c r="A297" s="12" t="str">
        <f>IF(AND(ISNUMBER(H296),H296&gt;0),282,"")</f>
        <v/>
      </c>
      <c r="B297" s="13" t="str">
        <f>IF(AND(ISNUMBER(H296),H296&gt;0),EDATE($C$10,282),"")</f>
        <v/>
      </c>
      <c r="C297" s="14" t="str">
        <f t="shared" si="20"/>
        <v/>
      </c>
      <c r="D297" s="15" t="str">
        <f t="shared" si="21"/>
        <v/>
      </c>
      <c r="E297" s="16" t="str">
        <f t="shared" si="22"/>
        <v/>
      </c>
      <c r="F297" s="27" t="str">
        <f t="shared" si="23"/>
        <v/>
      </c>
      <c r="G297" s="21"/>
      <c r="H297" s="17" t="str">
        <f t="shared" si="24"/>
        <v/>
      </c>
    </row>
    <row r="298" spans="1:8" ht="16.5" customHeight="1" x14ac:dyDescent="0.2">
      <c r="A298" s="6" t="str">
        <f>IF(AND(ISNUMBER(H297),H297&gt;0),283,"")</f>
        <v/>
      </c>
      <c r="B298" s="7" t="str">
        <f>IF(AND(ISNUMBER(H297),H297&gt;0),EDATE($C$10,283),"")</f>
        <v/>
      </c>
      <c r="C298" s="8" t="str">
        <f t="shared" si="20"/>
        <v/>
      </c>
      <c r="D298" s="9" t="str">
        <f t="shared" si="21"/>
        <v/>
      </c>
      <c r="E298" s="10" t="str">
        <f t="shared" si="22"/>
        <v/>
      </c>
      <c r="F298" s="26" t="str">
        <f t="shared" si="23"/>
        <v/>
      </c>
      <c r="G298" s="21"/>
      <c r="H298" s="11" t="str">
        <f t="shared" si="24"/>
        <v/>
      </c>
    </row>
    <row r="299" spans="1:8" ht="16.5" customHeight="1" x14ac:dyDescent="0.2">
      <c r="A299" s="12" t="str">
        <f>IF(AND(ISNUMBER(H298),H298&gt;0),284,"")</f>
        <v/>
      </c>
      <c r="B299" s="13" t="str">
        <f>IF(AND(ISNUMBER(H298),H298&gt;0),EDATE($C$10,284),"")</f>
        <v/>
      </c>
      <c r="C299" s="14" t="str">
        <f t="shared" si="20"/>
        <v/>
      </c>
      <c r="D299" s="15" t="str">
        <f t="shared" si="21"/>
        <v/>
      </c>
      <c r="E299" s="16" t="str">
        <f t="shared" si="22"/>
        <v/>
      </c>
      <c r="F299" s="27" t="str">
        <f t="shared" si="23"/>
        <v/>
      </c>
      <c r="G299" s="21"/>
      <c r="H299" s="17" t="str">
        <f t="shared" si="24"/>
        <v/>
      </c>
    </row>
    <row r="300" spans="1:8" ht="16.5" customHeight="1" x14ac:dyDescent="0.2">
      <c r="A300" s="6" t="str">
        <f>IF(AND(ISNUMBER(H299),H299&gt;0),285,"")</f>
        <v/>
      </c>
      <c r="B300" s="7" t="str">
        <f>IF(AND(ISNUMBER(H299),H299&gt;0),EDATE($C$10,285),"")</f>
        <v/>
      </c>
      <c r="C300" s="8" t="str">
        <f t="shared" si="20"/>
        <v/>
      </c>
      <c r="D300" s="9" t="str">
        <f t="shared" si="21"/>
        <v/>
      </c>
      <c r="E300" s="10" t="str">
        <f t="shared" si="22"/>
        <v/>
      </c>
      <c r="F300" s="26" t="str">
        <f t="shared" si="23"/>
        <v/>
      </c>
      <c r="G300" s="21"/>
      <c r="H300" s="11" t="str">
        <f t="shared" si="24"/>
        <v/>
      </c>
    </row>
    <row r="301" spans="1:8" ht="16.5" customHeight="1" x14ac:dyDescent="0.2">
      <c r="A301" s="12" t="str">
        <f>IF(AND(ISNUMBER(H300),H300&gt;0),286,"")</f>
        <v/>
      </c>
      <c r="B301" s="13" t="str">
        <f>IF(AND(ISNUMBER(H300),H300&gt;0),EDATE($C$10,286),"")</f>
        <v/>
      </c>
      <c r="C301" s="14" t="str">
        <f t="shared" si="20"/>
        <v/>
      </c>
      <c r="D301" s="15" t="str">
        <f t="shared" si="21"/>
        <v/>
      </c>
      <c r="E301" s="16" t="str">
        <f t="shared" si="22"/>
        <v/>
      </c>
      <c r="F301" s="27" t="str">
        <f t="shared" si="23"/>
        <v/>
      </c>
      <c r="G301" s="21"/>
      <c r="H301" s="17" t="str">
        <f t="shared" si="24"/>
        <v/>
      </c>
    </row>
    <row r="302" spans="1:8" ht="16.5" customHeight="1" x14ac:dyDescent="0.2">
      <c r="A302" s="6" t="str">
        <f>IF(AND(ISNUMBER(H301),H301&gt;0),287,"")</f>
        <v/>
      </c>
      <c r="B302" s="7" t="str">
        <f>IF(AND(ISNUMBER(H301),H301&gt;0),EDATE($C$10,287),"")</f>
        <v/>
      </c>
      <c r="C302" s="8" t="str">
        <f t="shared" si="20"/>
        <v/>
      </c>
      <c r="D302" s="9" t="str">
        <f t="shared" si="21"/>
        <v/>
      </c>
      <c r="E302" s="10" t="str">
        <f t="shared" si="22"/>
        <v/>
      </c>
      <c r="F302" s="26" t="str">
        <f t="shared" si="23"/>
        <v/>
      </c>
      <c r="G302" s="21"/>
      <c r="H302" s="11" t="str">
        <f t="shared" si="24"/>
        <v/>
      </c>
    </row>
    <row r="303" spans="1:8" ht="16.5" customHeight="1" x14ac:dyDescent="0.2">
      <c r="A303" s="12" t="str">
        <f>IF(AND(ISNUMBER(H302),H302&gt;0),288,"")</f>
        <v/>
      </c>
      <c r="B303" s="13" t="str">
        <f>IF(AND(ISNUMBER(H302),H302&gt;0),EDATE($C$10,288),"")</f>
        <v/>
      </c>
      <c r="C303" s="14" t="str">
        <f t="shared" si="20"/>
        <v/>
      </c>
      <c r="D303" s="15" t="str">
        <f t="shared" si="21"/>
        <v/>
      </c>
      <c r="E303" s="16" t="str">
        <f t="shared" si="22"/>
        <v/>
      </c>
      <c r="F303" s="27" t="str">
        <f t="shared" si="23"/>
        <v/>
      </c>
      <c r="G303" s="21"/>
      <c r="H303" s="17" t="str">
        <f t="shared" si="24"/>
        <v/>
      </c>
    </row>
    <row r="304" spans="1:8" ht="16.5" customHeight="1" x14ac:dyDescent="0.2">
      <c r="A304" s="6" t="str">
        <f>IF(AND(ISNUMBER(H303),H303&gt;0),289,"")</f>
        <v/>
      </c>
      <c r="B304" s="7" t="str">
        <f>IF(AND(ISNUMBER(H303),H303&gt;0),EDATE($C$10,289),"")</f>
        <v/>
      </c>
      <c r="C304" s="8" t="str">
        <f t="shared" si="20"/>
        <v/>
      </c>
      <c r="D304" s="9" t="str">
        <f t="shared" si="21"/>
        <v/>
      </c>
      <c r="E304" s="10" t="str">
        <f t="shared" si="22"/>
        <v/>
      </c>
      <c r="F304" s="26" t="str">
        <f t="shared" si="23"/>
        <v/>
      </c>
      <c r="G304" s="21"/>
      <c r="H304" s="11" t="str">
        <f t="shared" si="24"/>
        <v/>
      </c>
    </row>
    <row r="305" spans="1:8" ht="16.5" customHeight="1" x14ac:dyDescent="0.2">
      <c r="A305" s="12" t="str">
        <f>IF(AND(ISNUMBER(H304),H304&gt;0),290,"")</f>
        <v/>
      </c>
      <c r="B305" s="13" t="str">
        <f>IF(AND(ISNUMBER(H304),H304&gt;0),EDATE($C$10,290),"")</f>
        <v/>
      </c>
      <c r="C305" s="14" t="str">
        <f t="shared" si="20"/>
        <v/>
      </c>
      <c r="D305" s="15" t="str">
        <f t="shared" si="21"/>
        <v/>
      </c>
      <c r="E305" s="16" t="str">
        <f t="shared" si="22"/>
        <v/>
      </c>
      <c r="F305" s="27" t="str">
        <f t="shared" si="23"/>
        <v/>
      </c>
      <c r="G305" s="21"/>
      <c r="H305" s="17" t="str">
        <f t="shared" si="24"/>
        <v/>
      </c>
    </row>
    <row r="306" spans="1:8" ht="16.5" customHeight="1" x14ac:dyDescent="0.2">
      <c r="A306" s="6" t="str">
        <f>IF(AND(ISNUMBER(H305),H305&gt;0),291,"")</f>
        <v/>
      </c>
      <c r="B306" s="7" t="str">
        <f>IF(AND(ISNUMBER(H305),H305&gt;0),EDATE($C$10,291),"")</f>
        <v/>
      </c>
      <c r="C306" s="8" t="str">
        <f t="shared" si="20"/>
        <v/>
      </c>
      <c r="D306" s="9" t="str">
        <f t="shared" si="21"/>
        <v/>
      </c>
      <c r="E306" s="10" t="str">
        <f t="shared" si="22"/>
        <v/>
      </c>
      <c r="F306" s="26" t="str">
        <f t="shared" si="23"/>
        <v/>
      </c>
      <c r="G306" s="21"/>
      <c r="H306" s="11" t="str">
        <f t="shared" si="24"/>
        <v/>
      </c>
    </row>
    <row r="307" spans="1:8" ht="16.5" customHeight="1" x14ac:dyDescent="0.2">
      <c r="A307" s="12" t="str">
        <f>IF(AND(ISNUMBER(H306),H306&gt;0),292,"")</f>
        <v/>
      </c>
      <c r="B307" s="13" t="str">
        <f>IF(AND(ISNUMBER(H306),H306&gt;0),EDATE($C$10,292),"")</f>
        <v/>
      </c>
      <c r="C307" s="14" t="str">
        <f t="shared" si="20"/>
        <v/>
      </c>
      <c r="D307" s="15" t="str">
        <f t="shared" si="21"/>
        <v/>
      </c>
      <c r="E307" s="16" t="str">
        <f t="shared" si="22"/>
        <v/>
      </c>
      <c r="F307" s="27" t="str">
        <f t="shared" si="23"/>
        <v/>
      </c>
      <c r="G307" s="21"/>
      <c r="H307" s="17" t="str">
        <f t="shared" si="24"/>
        <v/>
      </c>
    </row>
    <row r="308" spans="1:8" ht="16.5" customHeight="1" x14ac:dyDescent="0.2">
      <c r="A308" s="6" t="str">
        <f>IF(AND(ISNUMBER(H307),H307&gt;0),293,"")</f>
        <v/>
      </c>
      <c r="B308" s="7" t="str">
        <f>IF(AND(ISNUMBER(H307),H307&gt;0),EDATE($C$10,293),"")</f>
        <v/>
      </c>
      <c r="C308" s="8" t="str">
        <f t="shared" si="20"/>
        <v/>
      </c>
      <c r="D308" s="9" t="str">
        <f t="shared" si="21"/>
        <v/>
      </c>
      <c r="E308" s="10" t="str">
        <f t="shared" si="22"/>
        <v/>
      </c>
      <c r="F308" s="26" t="str">
        <f t="shared" si="23"/>
        <v/>
      </c>
      <c r="G308" s="21"/>
      <c r="H308" s="11" t="str">
        <f t="shared" si="24"/>
        <v/>
      </c>
    </row>
    <row r="309" spans="1:8" ht="16.5" customHeight="1" x14ac:dyDescent="0.2">
      <c r="A309" s="12" t="str">
        <f>IF(AND(ISNUMBER(H308),H308&gt;0),294,"")</f>
        <v/>
      </c>
      <c r="B309" s="13" t="str">
        <f>IF(AND(ISNUMBER(H308),H308&gt;0),EDATE($C$10,294),"")</f>
        <v/>
      </c>
      <c r="C309" s="14" t="str">
        <f t="shared" si="20"/>
        <v/>
      </c>
      <c r="D309" s="15" t="str">
        <f t="shared" si="21"/>
        <v/>
      </c>
      <c r="E309" s="16" t="str">
        <f t="shared" si="22"/>
        <v/>
      </c>
      <c r="F309" s="27" t="str">
        <f t="shared" si="23"/>
        <v/>
      </c>
      <c r="G309" s="21"/>
      <c r="H309" s="17" t="str">
        <f t="shared" si="24"/>
        <v/>
      </c>
    </row>
    <row r="310" spans="1:8" ht="16.5" customHeight="1" x14ac:dyDescent="0.2">
      <c r="A310" s="6" t="str">
        <f>IF(AND(ISNUMBER(H309),H309&gt;0),295,"")</f>
        <v/>
      </c>
      <c r="B310" s="7" t="str">
        <f>IF(AND(ISNUMBER(H309),H309&gt;0),EDATE($C$10,295),"")</f>
        <v/>
      </c>
      <c r="C310" s="8" t="str">
        <f t="shared" si="20"/>
        <v/>
      </c>
      <c r="D310" s="9" t="str">
        <f t="shared" si="21"/>
        <v/>
      </c>
      <c r="E310" s="10" t="str">
        <f t="shared" si="22"/>
        <v/>
      </c>
      <c r="F310" s="26" t="str">
        <f t="shared" si="23"/>
        <v/>
      </c>
      <c r="G310" s="21"/>
      <c r="H310" s="11" t="str">
        <f t="shared" si="24"/>
        <v/>
      </c>
    </row>
    <row r="311" spans="1:8" ht="16.5" customHeight="1" x14ac:dyDescent="0.2">
      <c r="A311" s="12" t="str">
        <f>IF(AND(ISNUMBER(H310),H310&gt;0),296,"")</f>
        <v/>
      </c>
      <c r="B311" s="13" t="str">
        <f>IF(AND(ISNUMBER(H310),H310&gt;0),EDATE($C$10,296),"")</f>
        <v/>
      </c>
      <c r="C311" s="14" t="str">
        <f t="shared" si="20"/>
        <v/>
      </c>
      <c r="D311" s="15" t="str">
        <f t="shared" si="21"/>
        <v/>
      </c>
      <c r="E311" s="16" t="str">
        <f t="shared" si="22"/>
        <v/>
      </c>
      <c r="F311" s="27" t="str">
        <f t="shared" si="23"/>
        <v/>
      </c>
      <c r="G311" s="21"/>
      <c r="H311" s="17" t="str">
        <f t="shared" si="24"/>
        <v/>
      </c>
    </row>
    <row r="312" spans="1:8" ht="16.5" customHeight="1" x14ac:dyDescent="0.2">
      <c r="A312" s="6" t="str">
        <f>IF(AND(ISNUMBER(H311),H311&gt;0),297,"")</f>
        <v/>
      </c>
      <c r="B312" s="7" t="str">
        <f>IF(AND(ISNUMBER(H311),H311&gt;0),EDATE($C$10,297),"")</f>
        <v/>
      </c>
      <c r="C312" s="8" t="str">
        <f t="shared" si="20"/>
        <v/>
      </c>
      <c r="D312" s="9" t="str">
        <f t="shared" si="21"/>
        <v/>
      </c>
      <c r="E312" s="10" t="str">
        <f t="shared" si="22"/>
        <v/>
      </c>
      <c r="F312" s="26" t="str">
        <f t="shared" si="23"/>
        <v/>
      </c>
      <c r="G312" s="21"/>
      <c r="H312" s="11" t="str">
        <f t="shared" si="24"/>
        <v/>
      </c>
    </row>
    <row r="313" spans="1:8" ht="16.5" customHeight="1" x14ac:dyDescent="0.2">
      <c r="A313" s="12" t="str">
        <f>IF(AND(ISNUMBER(H312),H312&gt;0),298,"")</f>
        <v/>
      </c>
      <c r="B313" s="13" t="str">
        <f>IF(AND(ISNUMBER(H312),H312&gt;0),EDATE($C$10,298),"")</f>
        <v/>
      </c>
      <c r="C313" s="14" t="str">
        <f t="shared" si="20"/>
        <v/>
      </c>
      <c r="D313" s="15" t="str">
        <f t="shared" si="21"/>
        <v/>
      </c>
      <c r="E313" s="16" t="str">
        <f t="shared" si="22"/>
        <v/>
      </c>
      <c r="F313" s="27" t="str">
        <f t="shared" si="23"/>
        <v/>
      </c>
      <c r="G313" s="21"/>
      <c r="H313" s="17" t="str">
        <f t="shared" si="24"/>
        <v/>
      </c>
    </row>
    <row r="314" spans="1:8" ht="16.5" customHeight="1" x14ac:dyDescent="0.2">
      <c r="A314" s="6" t="str">
        <f>IF(AND(ISNUMBER(H313),H313&gt;0),299,"")</f>
        <v/>
      </c>
      <c r="B314" s="7" t="str">
        <f>IF(AND(ISNUMBER(H313),H313&gt;0),EDATE($C$10,299),"")</f>
        <v/>
      </c>
      <c r="C314" s="8" t="str">
        <f t="shared" si="20"/>
        <v/>
      </c>
      <c r="D314" s="9" t="str">
        <f t="shared" si="21"/>
        <v/>
      </c>
      <c r="E314" s="10" t="str">
        <f t="shared" si="22"/>
        <v/>
      </c>
      <c r="F314" s="26" t="str">
        <f t="shared" si="23"/>
        <v/>
      </c>
      <c r="G314" s="21"/>
      <c r="H314" s="11" t="str">
        <f t="shared" si="24"/>
        <v/>
      </c>
    </row>
    <row r="315" spans="1:8" ht="16.5" customHeight="1" x14ac:dyDescent="0.2">
      <c r="A315" s="12" t="str">
        <f>IF(AND(ISNUMBER(H314),H314&gt;0),300,"")</f>
        <v/>
      </c>
      <c r="B315" s="13" t="str">
        <f>IF(AND(ISNUMBER(H314),H314&gt;0),EDATE($C$10,300),"")</f>
        <v/>
      </c>
      <c r="C315" s="14" t="str">
        <f t="shared" si="20"/>
        <v/>
      </c>
      <c r="D315" s="15" t="str">
        <f t="shared" si="21"/>
        <v/>
      </c>
      <c r="E315" s="16" t="str">
        <f t="shared" si="22"/>
        <v/>
      </c>
      <c r="F315" s="27" t="str">
        <f t="shared" si="23"/>
        <v/>
      </c>
      <c r="G315" s="21"/>
      <c r="H315" s="17" t="str">
        <f t="shared" si="24"/>
        <v/>
      </c>
    </row>
    <row r="316" spans="1:8" ht="16.5" customHeight="1" x14ac:dyDescent="0.2">
      <c r="A316" s="6" t="str">
        <f>IF(AND(ISNUMBER(H315),H315&gt;0),301,"")</f>
        <v/>
      </c>
      <c r="B316" s="7" t="str">
        <f>IF(AND(ISNUMBER(H315),H315&gt;0),EDATE($C$10,301),"")</f>
        <v/>
      </c>
      <c r="C316" s="8" t="str">
        <f t="shared" si="20"/>
        <v/>
      </c>
      <c r="D316" s="9" t="str">
        <f t="shared" si="21"/>
        <v/>
      </c>
      <c r="E316" s="10" t="str">
        <f t="shared" si="22"/>
        <v/>
      </c>
      <c r="F316" s="26" t="str">
        <f t="shared" si="23"/>
        <v/>
      </c>
      <c r="G316" s="21"/>
      <c r="H316" s="11" t="str">
        <f t="shared" si="24"/>
        <v/>
      </c>
    </row>
    <row r="317" spans="1:8" ht="16.5" customHeight="1" x14ac:dyDescent="0.2">
      <c r="A317" s="12" t="str">
        <f>IF(AND(ISNUMBER(H316),H316&gt;0),302,"")</f>
        <v/>
      </c>
      <c r="B317" s="13" t="str">
        <f>IF(AND(ISNUMBER(H316),H316&gt;0),EDATE($C$10,302),"")</f>
        <v/>
      </c>
      <c r="C317" s="14" t="str">
        <f t="shared" si="20"/>
        <v/>
      </c>
      <c r="D317" s="15" t="str">
        <f t="shared" si="21"/>
        <v/>
      </c>
      <c r="E317" s="16" t="str">
        <f t="shared" si="22"/>
        <v/>
      </c>
      <c r="F317" s="27" t="str">
        <f t="shared" si="23"/>
        <v/>
      </c>
      <c r="G317" s="21"/>
      <c r="H317" s="17" t="str">
        <f t="shared" si="24"/>
        <v/>
      </c>
    </row>
    <row r="318" spans="1:8" ht="16.5" customHeight="1" x14ac:dyDescent="0.2">
      <c r="A318" s="6" t="str">
        <f>IF(AND(ISNUMBER(H317),H317&gt;0),303,"")</f>
        <v/>
      </c>
      <c r="B318" s="7" t="str">
        <f>IF(AND(ISNUMBER(H317),H317&gt;0),EDATE($C$10,303),"")</f>
        <v/>
      </c>
      <c r="C318" s="8" t="str">
        <f t="shared" si="20"/>
        <v/>
      </c>
      <c r="D318" s="9" t="str">
        <f t="shared" si="21"/>
        <v/>
      </c>
      <c r="E318" s="10" t="str">
        <f t="shared" si="22"/>
        <v/>
      </c>
      <c r="F318" s="26" t="str">
        <f t="shared" si="23"/>
        <v/>
      </c>
      <c r="G318" s="21"/>
      <c r="H318" s="11" t="str">
        <f t="shared" si="24"/>
        <v/>
      </c>
    </row>
    <row r="319" spans="1:8" ht="16.5" customHeight="1" x14ac:dyDescent="0.2">
      <c r="A319" s="12" t="str">
        <f>IF(AND(ISNUMBER(H318),H318&gt;0),304,"")</f>
        <v/>
      </c>
      <c r="B319" s="13" t="str">
        <f>IF(AND(ISNUMBER(H318),H318&gt;0),EDATE($C$10,304),"")</f>
        <v/>
      </c>
      <c r="C319" s="14" t="str">
        <f t="shared" si="20"/>
        <v/>
      </c>
      <c r="D319" s="15" t="str">
        <f t="shared" si="21"/>
        <v/>
      </c>
      <c r="E319" s="16" t="str">
        <f t="shared" si="22"/>
        <v/>
      </c>
      <c r="F319" s="27" t="str">
        <f t="shared" si="23"/>
        <v/>
      </c>
      <c r="G319" s="21"/>
      <c r="H319" s="17" t="str">
        <f t="shared" si="24"/>
        <v/>
      </c>
    </row>
    <row r="320" spans="1:8" ht="16.5" customHeight="1" x14ac:dyDescent="0.2">
      <c r="A320" s="6" t="str">
        <f>IF(AND(ISNUMBER(H319),H319&gt;0),305,"")</f>
        <v/>
      </c>
      <c r="B320" s="7" t="str">
        <f>IF(AND(ISNUMBER(H319),H319&gt;0),EDATE($C$10,305),"")</f>
        <v/>
      </c>
      <c r="C320" s="8" t="str">
        <f t="shared" si="20"/>
        <v/>
      </c>
      <c r="D320" s="9" t="str">
        <f t="shared" si="21"/>
        <v/>
      </c>
      <c r="E320" s="10" t="str">
        <f t="shared" si="22"/>
        <v/>
      </c>
      <c r="F320" s="26" t="str">
        <f t="shared" si="23"/>
        <v/>
      </c>
      <c r="G320" s="21"/>
      <c r="H320" s="11" t="str">
        <f t="shared" si="24"/>
        <v/>
      </c>
    </row>
    <row r="321" spans="1:8" ht="16.5" customHeight="1" x14ac:dyDescent="0.2">
      <c r="A321" s="12" t="str">
        <f>IF(AND(ISNUMBER(H320),H320&gt;0),306,"")</f>
        <v/>
      </c>
      <c r="B321" s="13" t="str">
        <f>IF(AND(ISNUMBER(H320),H320&gt;0),EDATE($C$10,306),"")</f>
        <v/>
      </c>
      <c r="C321" s="14" t="str">
        <f t="shared" si="20"/>
        <v/>
      </c>
      <c r="D321" s="15" t="str">
        <f t="shared" si="21"/>
        <v/>
      </c>
      <c r="E321" s="16" t="str">
        <f t="shared" si="22"/>
        <v/>
      </c>
      <c r="F321" s="27" t="str">
        <f t="shared" si="23"/>
        <v/>
      </c>
      <c r="G321" s="21"/>
      <c r="H321" s="17" t="str">
        <f t="shared" si="24"/>
        <v/>
      </c>
    </row>
    <row r="322" spans="1:8" ht="16.5" customHeight="1" x14ac:dyDescent="0.2">
      <c r="A322" s="6" t="str">
        <f>IF(AND(ISNUMBER(H321),H321&gt;0),307,"")</f>
        <v/>
      </c>
      <c r="B322" s="7" t="str">
        <f>IF(AND(ISNUMBER(H321),H321&gt;0),EDATE($C$10,307),"")</f>
        <v/>
      </c>
      <c r="C322" s="8" t="str">
        <f t="shared" si="20"/>
        <v/>
      </c>
      <c r="D322" s="9" t="str">
        <f t="shared" si="21"/>
        <v/>
      </c>
      <c r="E322" s="10" t="str">
        <f t="shared" si="22"/>
        <v/>
      </c>
      <c r="F322" s="26" t="str">
        <f t="shared" si="23"/>
        <v/>
      </c>
      <c r="G322" s="21"/>
      <c r="H322" s="11" t="str">
        <f t="shared" si="24"/>
        <v/>
      </c>
    </row>
    <row r="323" spans="1:8" ht="16.5" customHeight="1" x14ac:dyDescent="0.2">
      <c r="A323" s="12" t="str">
        <f>IF(AND(ISNUMBER(H322),H322&gt;0),308,"")</f>
        <v/>
      </c>
      <c r="B323" s="13" t="str">
        <f>IF(AND(ISNUMBER(H322),H322&gt;0),EDATE($C$10,308),"")</f>
        <v/>
      </c>
      <c r="C323" s="14" t="str">
        <f t="shared" si="20"/>
        <v/>
      </c>
      <c r="D323" s="15" t="str">
        <f t="shared" si="21"/>
        <v/>
      </c>
      <c r="E323" s="16" t="str">
        <f t="shared" si="22"/>
        <v/>
      </c>
      <c r="F323" s="27" t="str">
        <f t="shared" si="23"/>
        <v/>
      </c>
      <c r="G323" s="21"/>
      <c r="H323" s="17" t="str">
        <f t="shared" si="24"/>
        <v/>
      </c>
    </row>
    <row r="324" spans="1:8" ht="16.5" customHeight="1" x14ac:dyDescent="0.2">
      <c r="A324" s="6" t="str">
        <f>IF(AND(ISNUMBER(H323),H323&gt;0),309,"")</f>
        <v/>
      </c>
      <c r="B324" s="7" t="str">
        <f>IF(AND(ISNUMBER(H323),H323&gt;0),EDATE($C$10,309),"")</f>
        <v/>
      </c>
      <c r="C324" s="8" t="str">
        <f t="shared" si="20"/>
        <v/>
      </c>
      <c r="D324" s="9" t="str">
        <f t="shared" si="21"/>
        <v/>
      </c>
      <c r="E324" s="10" t="str">
        <f t="shared" si="22"/>
        <v/>
      </c>
      <c r="F324" s="26" t="str">
        <f t="shared" si="23"/>
        <v/>
      </c>
      <c r="G324" s="21"/>
      <c r="H324" s="11" t="str">
        <f t="shared" si="24"/>
        <v/>
      </c>
    </row>
    <row r="325" spans="1:8" ht="16.5" customHeight="1" x14ac:dyDescent="0.2">
      <c r="A325" s="12" t="str">
        <f>IF(AND(ISNUMBER(H324),H324&gt;0),310,"")</f>
        <v/>
      </c>
      <c r="B325" s="13" t="str">
        <f>IF(AND(ISNUMBER(H324),H324&gt;0),EDATE($C$10,310),"")</f>
        <v/>
      </c>
      <c r="C325" s="14" t="str">
        <f t="shared" si="20"/>
        <v/>
      </c>
      <c r="D325" s="15" t="str">
        <f t="shared" si="21"/>
        <v/>
      </c>
      <c r="E325" s="16" t="str">
        <f t="shared" si="22"/>
        <v/>
      </c>
      <c r="F325" s="27" t="str">
        <f t="shared" si="23"/>
        <v/>
      </c>
      <c r="G325" s="21"/>
      <c r="H325" s="17" t="str">
        <f t="shared" si="24"/>
        <v/>
      </c>
    </row>
    <row r="326" spans="1:8" ht="16.5" customHeight="1" x14ac:dyDescent="0.2">
      <c r="A326" s="6" t="str">
        <f>IF(AND(ISNUMBER(H325),H325&gt;0),311,"")</f>
        <v/>
      </c>
      <c r="B326" s="7" t="str">
        <f>IF(AND(ISNUMBER(H325),H325&gt;0),EDATE($C$10,311),"")</f>
        <v/>
      </c>
      <c r="C326" s="8" t="str">
        <f t="shared" si="20"/>
        <v/>
      </c>
      <c r="D326" s="9" t="str">
        <f t="shared" si="21"/>
        <v/>
      </c>
      <c r="E326" s="10" t="str">
        <f t="shared" si="22"/>
        <v/>
      </c>
      <c r="F326" s="26" t="str">
        <f t="shared" si="23"/>
        <v/>
      </c>
      <c r="G326" s="21"/>
      <c r="H326" s="11" t="str">
        <f t="shared" si="24"/>
        <v/>
      </c>
    </row>
    <row r="327" spans="1:8" ht="16.5" customHeight="1" x14ac:dyDescent="0.2">
      <c r="A327" s="12" t="str">
        <f>IF(AND(ISNUMBER(H326),H326&gt;0),312,"")</f>
        <v/>
      </c>
      <c r="B327" s="13" t="str">
        <f>IF(AND(ISNUMBER(H326),H326&gt;0),EDATE($C$10,312),"")</f>
        <v/>
      </c>
      <c r="C327" s="14" t="str">
        <f t="shared" si="20"/>
        <v/>
      </c>
      <c r="D327" s="15" t="str">
        <f t="shared" si="21"/>
        <v/>
      </c>
      <c r="E327" s="16" t="str">
        <f t="shared" si="22"/>
        <v/>
      </c>
      <c r="F327" s="27" t="str">
        <f t="shared" si="23"/>
        <v/>
      </c>
      <c r="G327" s="21"/>
      <c r="H327" s="17" t="str">
        <f t="shared" si="24"/>
        <v/>
      </c>
    </row>
    <row r="328" spans="1:8" ht="16.5" customHeight="1" x14ac:dyDescent="0.2">
      <c r="A328" s="6" t="str">
        <f>IF(AND(ISNUMBER(H327),H327&gt;0),313,"")</f>
        <v/>
      </c>
      <c r="B328" s="7" t="str">
        <f>IF(AND(ISNUMBER(H327),H327&gt;0),EDATE($C$10,313),"")</f>
        <v/>
      </c>
      <c r="C328" s="8" t="str">
        <f t="shared" si="20"/>
        <v/>
      </c>
      <c r="D328" s="9" t="str">
        <f t="shared" si="21"/>
        <v/>
      </c>
      <c r="E328" s="10" t="str">
        <f t="shared" si="22"/>
        <v/>
      </c>
      <c r="F328" s="26" t="str">
        <f t="shared" si="23"/>
        <v/>
      </c>
      <c r="G328" s="21"/>
      <c r="H328" s="11" t="str">
        <f t="shared" si="24"/>
        <v/>
      </c>
    </row>
    <row r="329" spans="1:8" ht="16.5" customHeight="1" x14ac:dyDescent="0.2">
      <c r="A329" s="12" t="str">
        <f>IF(AND(ISNUMBER(H328),H328&gt;0),314,"")</f>
        <v/>
      </c>
      <c r="B329" s="13" t="str">
        <f>IF(AND(ISNUMBER(H328),H328&gt;0),EDATE($C$10,314),"")</f>
        <v/>
      </c>
      <c r="C329" s="14" t="str">
        <f t="shared" si="20"/>
        <v/>
      </c>
      <c r="D329" s="15" t="str">
        <f t="shared" si="21"/>
        <v/>
      </c>
      <c r="E329" s="16" t="str">
        <f t="shared" si="22"/>
        <v/>
      </c>
      <c r="F329" s="27" t="str">
        <f t="shared" si="23"/>
        <v/>
      </c>
      <c r="G329" s="21"/>
      <c r="H329" s="17" t="str">
        <f t="shared" si="24"/>
        <v/>
      </c>
    </row>
    <row r="330" spans="1:8" ht="16.5" customHeight="1" x14ac:dyDescent="0.2">
      <c r="A330" s="6" t="str">
        <f>IF(AND(ISNUMBER(H329),H329&gt;0),315,"")</f>
        <v/>
      </c>
      <c r="B330" s="7" t="str">
        <f>IF(AND(ISNUMBER(H329),H329&gt;0),EDATE($C$10,315),"")</f>
        <v/>
      </c>
      <c r="C330" s="8" t="str">
        <f t="shared" si="20"/>
        <v/>
      </c>
      <c r="D330" s="9" t="str">
        <f t="shared" si="21"/>
        <v/>
      </c>
      <c r="E330" s="10" t="str">
        <f t="shared" si="22"/>
        <v/>
      </c>
      <c r="F330" s="26" t="str">
        <f t="shared" si="23"/>
        <v/>
      </c>
      <c r="G330" s="21"/>
      <c r="H330" s="11" t="str">
        <f t="shared" si="24"/>
        <v/>
      </c>
    </row>
    <row r="331" spans="1:8" ht="16.5" customHeight="1" x14ac:dyDescent="0.2">
      <c r="A331" s="12" t="str">
        <f>IF(AND(ISNUMBER(H330),H330&gt;0),316,"")</f>
        <v/>
      </c>
      <c r="B331" s="13" t="str">
        <f>IF(AND(ISNUMBER(H330),H330&gt;0),EDATE($C$10,316),"")</f>
        <v/>
      </c>
      <c r="C331" s="14" t="str">
        <f t="shared" si="20"/>
        <v/>
      </c>
      <c r="D331" s="15" t="str">
        <f t="shared" si="21"/>
        <v/>
      </c>
      <c r="E331" s="16" t="str">
        <f t="shared" si="22"/>
        <v/>
      </c>
      <c r="F331" s="27" t="str">
        <f t="shared" si="23"/>
        <v/>
      </c>
      <c r="G331" s="21"/>
      <c r="H331" s="17" t="str">
        <f t="shared" si="24"/>
        <v/>
      </c>
    </row>
    <row r="332" spans="1:8" ht="16.5" customHeight="1" x14ac:dyDescent="0.2">
      <c r="A332" s="6" t="str">
        <f>IF(AND(ISNUMBER(H331),H331&gt;0),317,"")</f>
        <v/>
      </c>
      <c r="B332" s="7" t="str">
        <f>IF(AND(ISNUMBER(H331),H331&gt;0),EDATE($C$10,317),"")</f>
        <v/>
      </c>
      <c r="C332" s="8" t="str">
        <f t="shared" si="20"/>
        <v/>
      </c>
      <c r="D332" s="9" t="str">
        <f t="shared" si="21"/>
        <v/>
      </c>
      <c r="E332" s="10" t="str">
        <f t="shared" si="22"/>
        <v/>
      </c>
      <c r="F332" s="26" t="str">
        <f t="shared" si="23"/>
        <v/>
      </c>
      <c r="G332" s="21"/>
      <c r="H332" s="11" t="str">
        <f t="shared" si="24"/>
        <v/>
      </c>
    </row>
    <row r="333" spans="1:8" ht="16.5" customHeight="1" x14ac:dyDescent="0.2">
      <c r="A333" s="12" t="str">
        <f>IF(AND(ISNUMBER(H332),H332&gt;0),318,"")</f>
        <v/>
      </c>
      <c r="B333" s="13" t="str">
        <f>IF(AND(ISNUMBER(H332),H332&gt;0),EDATE($C$10,318),"")</f>
        <v/>
      </c>
      <c r="C333" s="14" t="str">
        <f t="shared" si="20"/>
        <v/>
      </c>
      <c r="D333" s="15" t="str">
        <f t="shared" si="21"/>
        <v/>
      </c>
      <c r="E333" s="16" t="str">
        <f t="shared" si="22"/>
        <v/>
      </c>
      <c r="F333" s="27" t="str">
        <f t="shared" si="23"/>
        <v/>
      </c>
      <c r="G333" s="21"/>
      <c r="H333" s="17" t="str">
        <f t="shared" si="24"/>
        <v/>
      </c>
    </row>
    <row r="334" spans="1:8" ht="16.5" customHeight="1" x14ac:dyDescent="0.2">
      <c r="A334" s="6" t="str">
        <f>IF(AND(ISNUMBER(H333),H333&gt;0),319,"")</f>
        <v/>
      </c>
      <c r="B334" s="7" t="str">
        <f>IF(AND(ISNUMBER(H333),H333&gt;0),EDATE($C$10,319),"")</f>
        <v/>
      </c>
      <c r="C334" s="8" t="str">
        <f t="shared" si="20"/>
        <v/>
      </c>
      <c r="D334" s="9" t="str">
        <f t="shared" si="21"/>
        <v/>
      </c>
      <c r="E334" s="10" t="str">
        <f t="shared" si="22"/>
        <v/>
      </c>
      <c r="F334" s="26" t="str">
        <f t="shared" si="23"/>
        <v/>
      </c>
      <c r="G334" s="21"/>
      <c r="H334" s="11" t="str">
        <f t="shared" si="24"/>
        <v/>
      </c>
    </row>
    <row r="335" spans="1:8" ht="16.5" customHeight="1" x14ac:dyDescent="0.2">
      <c r="A335" s="12" t="str">
        <f>IF(AND(ISNUMBER(H334),H334&gt;0),320,"")</f>
        <v/>
      </c>
      <c r="B335" s="13" t="str">
        <f>IF(AND(ISNUMBER(H334),H334&gt;0),EDATE($C$10,320),"")</f>
        <v/>
      </c>
      <c r="C335" s="14" t="str">
        <f t="shared" si="20"/>
        <v/>
      </c>
      <c r="D335" s="15" t="str">
        <f t="shared" si="21"/>
        <v/>
      </c>
      <c r="E335" s="16" t="str">
        <f t="shared" si="22"/>
        <v/>
      </c>
      <c r="F335" s="27" t="str">
        <f t="shared" si="23"/>
        <v/>
      </c>
      <c r="G335" s="21"/>
      <c r="H335" s="17" t="str">
        <f t="shared" si="24"/>
        <v/>
      </c>
    </row>
    <row r="336" spans="1:8" ht="16.5" customHeight="1" x14ac:dyDescent="0.2">
      <c r="A336" s="6" t="str">
        <f>IF(AND(ISNUMBER(H335),H335&gt;0),321,"")</f>
        <v/>
      </c>
      <c r="B336" s="7" t="str">
        <f>IF(AND(ISNUMBER(H335),H335&gt;0),EDATE($C$10,321),"")</f>
        <v/>
      </c>
      <c r="C336" s="8" t="str">
        <f t="shared" si="20"/>
        <v/>
      </c>
      <c r="D336" s="9" t="str">
        <f t="shared" si="21"/>
        <v/>
      </c>
      <c r="E336" s="10" t="str">
        <f t="shared" si="22"/>
        <v/>
      </c>
      <c r="F336" s="26" t="str">
        <f t="shared" si="23"/>
        <v/>
      </c>
      <c r="G336" s="21"/>
      <c r="H336" s="11" t="str">
        <f t="shared" si="24"/>
        <v/>
      </c>
    </row>
    <row r="337" spans="1:8" ht="16.5" customHeight="1" x14ac:dyDescent="0.2">
      <c r="A337" s="12" t="str">
        <f>IF(AND(ISNUMBER(H336),H336&gt;0),322,"")</f>
        <v/>
      </c>
      <c r="B337" s="13" t="str">
        <f>IF(AND(ISNUMBER(H336),H336&gt;0),EDATE($C$10,322),"")</f>
        <v/>
      </c>
      <c r="C337" s="14" t="str">
        <f t="shared" ref="C337:C375" si="25">IF(AND(ISNUMBER(H336),H336&gt;0),H336,"")</f>
        <v/>
      </c>
      <c r="D337" s="15" t="str">
        <f t="shared" ref="D337:D375" si="26">IFERROR(IF(AND(ISNUMBER(H336),H336&gt;0),ROUND(C337*$C$8/12,2),""),"")</f>
        <v/>
      </c>
      <c r="E337" s="16" t="str">
        <f t="shared" ref="E337:E375" si="27">IFERROR(IF(AND(ISNUMBER(H336),H336&gt;0),C337-H337,""),"")</f>
        <v/>
      </c>
      <c r="F337" s="27" t="str">
        <f t="shared" ref="F337:F375" si="28">IFERROR(IF(AND(ISNUMBER(H336),H336&gt;0),MIN($C$9,C337+D337),""),"")</f>
        <v/>
      </c>
      <c r="G337" s="21"/>
      <c r="H337" s="17" t="str">
        <f t="shared" ref="H337:H375" si="29">IFERROR(IF(AND(ISNUMBER(H336),H336&gt;0),MAX(0,C337+D337-F337-IFERROR(G337*1,0)),""),"")</f>
        <v/>
      </c>
    </row>
    <row r="338" spans="1:8" ht="16.5" customHeight="1" x14ac:dyDescent="0.2">
      <c r="A338" s="6" t="str">
        <f>IF(AND(ISNUMBER(H337),H337&gt;0),323,"")</f>
        <v/>
      </c>
      <c r="B338" s="7" t="str">
        <f>IF(AND(ISNUMBER(H337),H337&gt;0),EDATE($C$10,323),"")</f>
        <v/>
      </c>
      <c r="C338" s="8" t="str">
        <f t="shared" si="25"/>
        <v/>
      </c>
      <c r="D338" s="9" t="str">
        <f t="shared" si="26"/>
        <v/>
      </c>
      <c r="E338" s="10" t="str">
        <f t="shared" si="27"/>
        <v/>
      </c>
      <c r="F338" s="26" t="str">
        <f t="shared" si="28"/>
        <v/>
      </c>
      <c r="G338" s="21"/>
      <c r="H338" s="11" t="str">
        <f t="shared" si="29"/>
        <v/>
      </c>
    </row>
    <row r="339" spans="1:8" ht="16.5" customHeight="1" x14ac:dyDescent="0.2">
      <c r="A339" s="12" t="str">
        <f>IF(AND(ISNUMBER(H338),H338&gt;0),324,"")</f>
        <v/>
      </c>
      <c r="B339" s="13" t="str">
        <f>IF(AND(ISNUMBER(H338),H338&gt;0),EDATE($C$10,324),"")</f>
        <v/>
      </c>
      <c r="C339" s="14" t="str">
        <f t="shared" si="25"/>
        <v/>
      </c>
      <c r="D339" s="15" t="str">
        <f t="shared" si="26"/>
        <v/>
      </c>
      <c r="E339" s="16" t="str">
        <f t="shared" si="27"/>
        <v/>
      </c>
      <c r="F339" s="27" t="str">
        <f t="shared" si="28"/>
        <v/>
      </c>
      <c r="G339" s="21"/>
      <c r="H339" s="17" t="str">
        <f t="shared" si="29"/>
        <v/>
      </c>
    </row>
    <row r="340" spans="1:8" ht="16.5" customHeight="1" x14ac:dyDescent="0.2">
      <c r="A340" s="6" t="str">
        <f>IF(AND(ISNUMBER(H339),H339&gt;0),325,"")</f>
        <v/>
      </c>
      <c r="B340" s="7" t="str">
        <f>IF(AND(ISNUMBER(H339),H339&gt;0),EDATE($C$10,325),"")</f>
        <v/>
      </c>
      <c r="C340" s="8" t="str">
        <f t="shared" si="25"/>
        <v/>
      </c>
      <c r="D340" s="9" t="str">
        <f t="shared" si="26"/>
        <v/>
      </c>
      <c r="E340" s="10" t="str">
        <f t="shared" si="27"/>
        <v/>
      </c>
      <c r="F340" s="26" t="str">
        <f t="shared" si="28"/>
        <v/>
      </c>
      <c r="G340" s="21"/>
      <c r="H340" s="11" t="str">
        <f t="shared" si="29"/>
        <v/>
      </c>
    </row>
    <row r="341" spans="1:8" ht="16.5" customHeight="1" x14ac:dyDescent="0.2">
      <c r="A341" s="12" t="str">
        <f>IF(AND(ISNUMBER(H340),H340&gt;0),326,"")</f>
        <v/>
      </c>
      <c r="B341" s="13" t="str">
        <f>IF(AND(ISNUMBER(H340),H340&gt;0),EDATE($C$10,326),"")</f>
        <v/>
      </c>
      <c r="C341" s="14" t="str">
        <f t="shared" si="25"/>
        <v/>
      </c>
      <c r="D341" s="15" t="str">
        <f t="shared" si="26"/>
        <v/>
      </c>
      <c r="E341" s="16" t="str">
        <f t="shared" si="27"/>
        <v/>
      </c>
      <c r="F341" s="27" t="str">
        <f t="shared" si="28"/>
        <v/>
      </c>
      <c r="G341" s="21"/>
      <c r="H341" s="17" t="str">
        <f t="shared" si="29"/>
        <v/>
      </c>
    </row>
    <row r="342" spans="1:8" ht="16.5" customHeight="1" x14ac:dyDescent="0.2">
      <c r="A342" s="6" t="str">
        <f>IF(AND(ISNUMBER(H341),H341&gt;0),327,"")</f>
        <v/>
      </c>
      <c r="B342" s="7" t="str">
        <f>IF(AND(ISNUMBER(H341),H341&gt;0),EDATE($C$10,327),"")</f>
        <v/>
      </c>
      <c r="C342" s="8" t="str">
        <f t="shared" si="25"/>
        <v/>
      </c>
      <c r="D342" s="9" t="str">
        <f t="shared" si="26"/>
        <v/>
      </c>
      <c r="E342" s="10" t="str">
        <f t="shared" si="27"/>
        <v/>
      </c>
      <c r="F342" s="26" t="str">
        <f t="shared" si="28"/>
        <v/>
      </c>
      <c r="G342" s="21"/>
      <c r="H342" s="11" t="str">
        <f t="shared" si="29"/>
        <v/>
      </c>
    </row>
    <row r="343" spans="1:8" ht="16.5" customHeight="1" x14ac:dyDescent="0.2">
      <c r="A343" s="12" t="str">
        <f>IF(AND(ISNUMBER(H342),H342&gt;0),328,"")</f>
        <v/>
      </c>
      <c r="B343" s="13" t="str">
        <f>IF(AND(ISNUMBER(H342),H342&gt;0),EDATE($C$10,328),"")</f>
        <v/>
      </c>
      <c r="C343" s="14" t="str">
        <f t="shared" si="25"/>
        <v/>
      </c>
      <c r="D343" s="15" t="str">
        <f t="shared" si="26"/>
        <v/>
      </c>
      <c r="E343" s="16" t="str">
        <f t="shared" si="27"/>
        <v/>
      </c>
      <c r="F343" s="27" t="str">
        <f t="shared" si="28"/>
        <v/>
      </c>
      <c r="G343" s="21"/>
      <c r="H343" s="17" t="str">
        <f t="shared" si="29"/>
        <v/>
      </c>
    </row>
    <row r="344" spans="1:8" ht="16.5" customHeight="1" x14ac:dyDescent="0.2">
      <c r="A344" s="6" t="str">
        <f>IF(AND(ISNUMBER(H343),H343&gt;0),329,"")</f>
        <v/>
      </c>
      <c r="B344" s="7" t="str">
        <f>IF(AND(ISNUMBER(H343),H343&gt;0),EDATE($C$10,329),"")</f>
        <v/>
      </c>
      <c r="C344" s="8" t="str">
        <f t="shared" si="25"/>
        <v/>
      </c>
      <c r="D344" s="9" t="str">
        <f t="shared" si="26"/>
        <v/>
      </c>
      <c r="E344" s="10" t="str">
        <f t="shared" si="27"/>
        <v/>
      </c>
      <c r="F344" s="26" t="str">
        <f t="shared" si="28"/>
        <v/>
      </c>
      <c r="G344" s="21"/>
      <c r="H344" s="11" t="str">
        <f t="shared" si="29"/>
        <v/>
      </c>
    </row>
    <row r="345" spans="1:8" ht="16.5" customHeight="1" x14ac:dyDescent="0.2">
      <c r="A345" s="12" t="str">
        <f>IF(AND(ISNUMBER(H344),H344&gt;0),330,"")</f>
        <v/>
      </c>
      <c r="B345" s="13" t="str">
        <f>IF(AND(ISNUMBER(H344),H344&gt;0),EDATE($C$10,330),"")</f>
        <v/>
      </c>
      <c r="C345" s="14" t="str">
        <f t="shared" si="25"/>
        <v/>
      </c>
      <c r="D345" s="15" t="str">
        <f t="shared" si="26"/>
        <v/>
      </c>
      <c r="E345" s="16" t="str">
        <f t="shared" si="27"/>
        <v/>
      </c>
      <c r="F345" s="27" t="str">
        <f t="shared" si="28"/>
        <v/>
      </c>
      <c r="G345" s="21"/>
      <c r="H345" s="17" t="str">
        <f t="shared" si="29"/>
        <v/>
      </c>
    </row>
    <row r="346" spans="1:8" ht="16.5" customHeight="1" x14ac:dyDescent="0.2">
      <c r="A346" s="6" t="str">
        <f>IF(AND(ISNUMBER(H345),H345&gt;0),331,"")</f>
        <v/>
      </c>
      <c r="B346" s="7" t="str">
        <f>IF(AND(ISNUMBER(H345),H345&gt;0),EDATE($C$10,331),"")</f>
        <v/>
      </c>
      <c r="C346" s="8" t="str">
        <f t="shared" si="25"/>
        <v/>
      </c>
      <c r="D346" s="9" t="str">
        <f t="shared" si="26"/>
        <v/>
      </c>
      <c r="E346" s="10" t="str">
        <f t="shared" si="27"/>
        <v/>
      </c>
      <c r="F346" s="26" t="str">
        <f t="shared" si="28"/>
        <v/>
      </c>
      <c r="G346" s="21"/>
      <c r="H346" s="11" t="str">
        <f t="shared" si="29"/>
        <v/>
      </c>
    </row>
    <row r="347" spans="1:8" ht="16.5" customHeight="1" x14ac:dyDescent="0.2">
      <c r="A347" s="12" t="str">
        <f>IF(AND(ISNUMBER(H346),H346&gt;0),332,"")</f>
        <v/>
      </c>
      <c r="B347" s="13" t="str">
        <f>IF(AND(ISNUMBER(H346),H346&gt;0),EDATE($C$10,332),"")</f>
        <v/>
      </c>
      <c r="C347" s="14" t="str">
        <f t="shared" si="25"/>
        <v/>
      </c>
      <c r="D347" s="15" t="str">
        <f t="shared" si="26"/>
        <v/>
      </c>
      <c r="E347" s="16" t="str">
        <f t="shared" si="27"/>
        <v/>
      </c>
      <c r="F347" s="27" t="str">
        <f t="shared" si="28"/>
        <v/>
      </c>
      <c r="G347" s="21"/>
      <c r="H347" s="17" t="str">
        <f t="shared" si="29"/>
        <v/>
      </c>
    </row>
    <row r="348" spans="1:8" ht="16.5" customHeight="1" x14ac:dyDescent="0.2">
      <c r="A348" s="6" t="str">
        <f>IF(AND(ISNUMBER(H347),H347&gt;0),333,"")</f>
        <v/>
      </c>
      <c r="B348" s="7" t="str">
        <f>IF(AND(ISNUMBER(H347),H347&gt;0),EDATE($C$10,333),"")</f>
        <v/>
      </c>
      <c r="C348" s="8" t="str">
        <f t="shared" si="25"/>
        <v/>
      </c>
      <c r="D348" s="9" t="str">
        <f t="shared" si="26"/>
        <v/>
      </c>
      <c r="E348" s="10" t="str">
        <f t="shared" si="27"/>
        <v/>
      </c>
      <c r="F348" s="26" t="str">
        <f t="shared" si="28"/>
        <v/>
      </c>
      <c r="G348" s="21"/>
      <c r="H348" s="11" t="str">
        <f t="shared" si="29"/>
        <v/>
      </c>
    </row>
    <row r="349" spans="1:8" ht="16.5" customHeight="1" x14ac:dyDescent="0.2">
      <c r="A349" s="12" t="str">
        <f>IF(AND(ISNUMBER(H348),H348&gt;0),334,"")</f>
        <v/>
      </c>
      <c r="B349" s="13" t="str">
        <f>IF(AND(ISNUMBER(H348),H348&gt;0),EDATE($C$10,334),"")</f>
        <v/>
      </c>
      <c r="C349" s="14" t="str">
        <f t="shared" si="25"/>
        <v/>
      </c>
      <c r="D349" s="15" t="str">
        <f t="shared" si="26"/>
        <v/>
      </c>
      <c r="E349" s="16" t="str">
        <f t="shared" si="27"/>
        <v/>
      </c>
      <c r="F349" s="27" t="str">
        <f t="shared" si="28"/>
        <v/>
      </c>
      <c r="G349" s="21"/>
      <c r="H349" s="17" t="str">
        <f t="shared" si="29"/>
        <v/>
      </c>
    </row>
    <row r="350" spans="1:8" ht="16.5" customHeight="1" x14ac:dyDescent="0.2">
      <c r="A350" s="6" t="str">
        <f>IF(AND(ISNUMBER(H349),H349&gt;0),335,"")</f>
        <v/>
      </c>
      <c r="B350" s="7" t="str">
        <f>IF(AND(ISNUMBER(H349),H349&gt;0),EDATE($C$10,335),"")</f>
        <v/>
      </c>
      <c r="C350" s="8" t="str">
        <f t="shared" si="25"/>
        <v/>
      </c>
      <c r="D350" s="9" t="str">
        <f t="shared" si="26"/>
        <v/>
      </c>
      <c r="E350" s="10" t="str">
        <f t="shared" si="27"/>
        <v/>
      </c>
      <c r="F350" s="26" t="str">
        <f t="shared" si="28"/>
        <v/>
      </c>
      <c r="G350" s="21"/>
      <c r="H350" s="11" t="str">
        <f t="shared" si="29"/>
        <v/>
      </c>
    </row>
    <row r="351" spans="1:8" ht="16.5" customHeight="1" x14ac:dyDescent="0.2">
      <c r="A351" s="12" t="str">
        <f>IF(AND(ISNUMBER(H350),H350&gt;0),336,"")</f>
        <v/>
      </c>
      <c r="B351" s="13" t="str">
        <f>IF(AND(ISNUMBER(H350),H350&gt;0),EDATE($C$10,336),"")</f>
        <v/>
      </c>
      <c r="C351" s="14" t="str">
        <f t="shared" si="25"/>
        <v/>
      </c>
      <c r="D351" s="15" t="str">
        <f t="shared" si="26"/>
        <v/>
      </c>
      <c r="E351" s="16" t="str">
        <f t="shared" si="27"/>
        <v/>
      </c>
      <c r="F351" s="27" t="str">
        <f t="shared" si="28"/>
        <v/>
      </c>
      <c r="G351" s="21"/>
      <c r="H351" s="17" t="str">
        <f t="shared" si="29"/>
        <v/>
      </c>
    </row>
    <row r="352" spans="1:8" ht="16.5" customHeight="1" x14ac:dyDescent="0.2">
      <c r="A352" s="6" t="str">
        <f>IF(AND(ISNUMBER(H351),H351&gt;0),337,"")</f>
        <v/>
      </c>
      <c r="B352" s="7" t="str">
        <f>IF(AND(ISNUMBER(H351),H351&gt;0),EDATE($C$10,337),"")</f>
        <v/>
      </c>
      <c r="C352" s="8" t="str">
        <f t="shared" si="25"/>
        <v/>
      </c>
      <c r="D352" s="9" t="str">
        <f t="shared" si="26"/>
        <v/>
      </c>
      <c r="E352" s="10" t="str">
        <f t="shared" si="27"/>
        <v/>
      </c>
      <c r="F352" s="26" t="str">
        <f t="shared" si="28"/>
        <v/>
      </c>
      <c r="G352" s="21"/>
      <c r="H352" s="11" t="str">
        <f t="shared" si="29"/>
        <v/>
      </c>
    </row>
    <row r="353" spans="1:8" ht="16.5" customHeight="1" x14ac:dyDescent="0.2">
      <c r="A353" s="12" t="str">
        <f>IF(AND(ISNUMBER(H352),H352&gt;0),338,"")</f>
        <v/>
      </c>
      <c r="B353" s="13" t="str">
        <f>IF(AND(ISNUMBER(H352),H352&gt;0),EDATE($C$10,338),"")</f>
        <v/>
      </c>
      <c r="C353" s="14" t="str">
        <f t="shared" si="25"/>
        <v/>
      </c>
      <c r="D353" s="15" t="str">
        <f t="shared" si="26"/>
        <v/>
      </c>
      <c r="E353" s="16" t="str">
        <f t="shared" si="27"/>
        <v/>
      </c>
      <c r="F353" s="27" t="str">
        <f t="shared" si="28"/>
        <v/>
      </c>
      <c r="G353" s="21"/>
      <c r="H353" s="17" t="str">
        <f t="shared" si="29"/>
        <v/>
      </c>
    </row>
    <row r="354" spans="1:8" ht="16.5" customHeight="1" x14ac:dyDescent="0.2">
      <c r="A354" s="6" t="str">
        <f>IF(AND(ISNUMBER(H353),H353&gt;0),339,"")</f>
        <v/>
      </c>
      <c r="B354" s="7" t="str">
        <f>IF(AND(ISNUMBER(H353),H353&gt;0),EDATE($C$10,339),"")</f>
        <v/>
      </c>
      <c r="C354" s="8" t="str">
        <f t="shared" si="25"/>
        <v/>
      </c>
      <c r="D354" s="9" t="str">
        <f t="shared" si="26"/>
        <v/>
      </c>
      <c r="E354" s="10" t="str">
        <f t="shared" si="27"/>
        <v/>
      </c>
      <c r="F354" s="26" t="str">
        <f t="shared" si="28"/>
        <v/>
      </c>
      <c r="G354" s="21"/>
      <c r="H354" s="11" t="str">
        <f t="shared" si="29"/>
        <v/>
      </c>
    </row>
    <row r="355" spans="1:8" ht="16.5" customHeight="1" x14ac:dyDescent="0.2">
      <c r="A355" s="12" t="str">
        <f>IF(AND(ISNUMBER(H354),H354&gt;0),340,"")</f>
        <v/>
      </c>
      <c r="B355" s="13" t="str">
        <f>IF(AND(ISNUMBER(H354),H354&gt;0),EDATE($C$10,340),"")</f>
        <v/>
      </c>
      <c r="C355" s="14" t="str">
        <f t="shared" si="25"/>
        <v/>
      </c>
      <c r="D355" s="15" t="str">
        <f t="shared" si="26"/>
        <v/>
      </c>
      <c r="E355" s="16" t="str">
        <f t="shared" si="27"/>
        <v/>
      </c>
      <c r="F355" s="27" t="str">
        <f t="shared" si="28"/>
        <v/>
      </c>
      <c r="G355" s="21"/>
      <c r="H355" s="17" t="str">
        <f t="shared" si="29"/>
        <v/>
      </c>
    </row>
    <row r="356" spans="1:8" ht="16.5" customHeight="1" x14ac:dyDescent="0.2">
      <c r="A356" s="6" t="str">
        <f>IF(AND(ISNUMBER(H355),H355&gt;0),341,"")</f>
        <v/>
      </c>
      <c r="B356" s="7" t="str">
        <f>IF(AND(ISNUMBER(H355),H355&gt;0),EDATE($C$10,341),"")</f>
        <v/>
      </c>
      <c r="C356" s="8" t="str">
        <f t="shared" si="25"/>
        <v/>
      </c>
      <c r="D356" s="9" t="str">
        <f t="shared" si="26"/>
        <v/>
      </c>
      <c r="E356" s="10" t="str">
        <f t="shared" si="27"/>
        <v/>
      </c>
      <c r="F356" s="26" t="str">
        <f t="shared" si="28"/>
        <v/>
      </c>
      <c r="G356" s="21"/>
      <c r="H356" s="11" t="str">
        <f t="shared" si="29"/>
        <v/>
      </c>
    </row>
    <row r="357" spans="1:8" ht="16.5" customHeight="1" x14ac:dyDescent="0.2">
      <c r="A357" s="12" t="str">
        <f>IF(AND(ISNUMBER(H356),H356&gt;0),342,"")</f>
        <v/>
      </c>
      <c r="B357" s="13" t="str">
        <f>IF(AND(ISNUMBER(H356),H356&gt;0),EDATE($C$10,342),"")</f>
        <v/>
      </c>
      <c r="C357" s="14" t="str">
        <f t="shared" si="25"/>
        <v/>
      </c>
      <c r="D357" s="15" t="str">
        <f t="shared" si="26"/>
        <v/>
      </c>
      <c r="E357" s="16" t="str">
        <f t="shared" si="27"/>
        <v/>
      </c>
      <c r="F357" s="27" t="str">
        <f t="shared" si="28"/>
        <v/>
      </c>
      <c r="G357" s="21"/>
      <c r="H357" s="17" t="str">
        <f t="shared" si="29"/>
        <v/>
      </c>
    </row>
    <row r="358" spans="1:8" ht="16.5" customHeight="1" x14ac:dyDescent="0.2">
      <c r="A358" s="6" t="str">
        <f>IF(AND(ISNUMBER(H357),H357&gt;0),343,"")</f>
        <v/>
      </c>
      <c r="B358" s="7" t="str">
        <f>IF(AND(ISNUMBER(H357),H357&gt;0),EDATE($C$10,343),"")</f>
        <v/>
      </c>
      <c r="C358" s="8" t="str">
        <f t="shared" si="25"/>
        <v/>
      </c>
      <c r="D358" s="9" t="str">
        <f t="shared" si="26"/>
        <v/>
      </c>
      <c r="E358" s="10" t="str">
        <f t="shared" si="27"/>
        <v/>
      </c>
      <c r="F358" s="26" t="str">
        <f t="shared" si="28"/>
        <v/>
      </c>
      <c r="G358" s="21"/>
      <c r="H358" s="11" t="str">
        <f t="shared" si="29"/>
        <v/>
      </c>
    </row>
    <row r="359" spans="1:8" ht="16.5" customHeight="1" x14ac:dyDescent="0.2">
      <c r="A359" s="12" t="str">
        <f>IF(AND(ISNUMBER(H358),H358&gt;0),344,"")</f>
        <v/>
      </c>
      <c r="B359" s="13" t="str">
        <f>IF(AND(ISNUMBER(H358),H358&gt;0),EDATE($C$10,344),"")</f>
        <v/>
      </c>
      <c r="C359" s="14" t="str">
        <f t="shared" si="25"/>
        <v/>
      </c>
      <c r="D359" s="15" t="str">
        <f t="shared" si="26"/>
        <v/>
      </c>
      <c r="E359" s="16" t="str">
        <f t="shared" si="27"/>
        <v/>
      </c>
      <c r="F359" s="27" t="str">
        <f t="shared" si="28"/>
        <v/>
      </c>
      <c r="G359" s="21"/>
      <c r="H359" s="17" t="str">
        <f t="shared" si="29"/>
        <v/>
      </c>
    </row>
    <row r="360" spans="1:8" ht="16.5" customHeight="1" x14ac:dyDescent="0.2">
      <c r="A360" s="6" t="str">
        <f>IF(AND(ISNUMBER(H359),H359&gt;0),345,"")</f>
        <v/>
      </c>
      <c r="B360" s="7" t="str">
        <f>IF(AND(ISNUMBER(H359),H359&gt;0),EDATE($C$10,345),"")</f>
        <v/>
      </c>
      <c r="C360" s="8" t="str">
        <f t="shared" si="25"/>
        <v/>
      </c>
      <c r="D360" s="9" t="str">
        <f t="shared" si="26"/>
        <v/>
      </c>
      <c r="E360" s="10" t="str">
        <f t="shared" si="27"/>
        <v/>
      </c>
      <c r="F360" s="26" t="str">
        <f t="shared" si="28"/>
        <v/>
      </c>
      <c r="G360" s="21"/>
      <c r="H360" s="11" t="str">
        <f t="shared" si="29"/>
        <v/>
      </c>
    </row>
    <row r="361" spans="1:8" ht="16.5" customHeight="1" x14ac:dyDescent="0.2">
      <c r="A361" s="12" t="str">
        <f>IF(AND(ISNUMBER(H360),H360&gt;0),346,"")</f>
        <v/>
      </c>
      <c r="B361" s="13" t="str">
        <f>IF(AND(ISNUMBER(H360),H360&gt;0),EDATE($C$10,346),"")</f>
        <v/>
      </c>
      <c r="C361" s="14" t="str">
        <f t="shared" si="25"/>
        <v/>
      </c>
      <c r="D361" s="15" t="str">
        <f t="shared" si="26"/>
        <v/>
      </c>
      <c r="E361" s="16" t="str">
        <f t="shared" si="27"/>
        <v/>
      </c>
      <c r="F361" s="27" t="str">
        <f t="shared" si="28"/>
        <v/>
      </c>
      <c r="G361" s="21"/>
      <c r="H361" s="17" t="str">
        <f t="shared" si="29"/>
        <v/>
      </c>
    </row>
    <row r="362" spans="1:8" ht="16.5" customHeight="1" x14ac:dyDescent="0.2">
      <c r="A362" s="6" t="str">
        <f>IF(AND(ISNUMBER(H361),H361&gt;0),347,"")</f>
        <v/>
      </c>
      <c r="B362" s="7" t="str">
        <f>IF(AND(ISNUMBER(H361),H361&gt;0),EDATE($C$10,347),"")</f>
        <v/>
      </c>
      <c r="C362" s="8" t="str">
        <f t="shared" si="25"/>
        <v/>
      </c>
      <c r="D362" s="9" t="str">
        <f t="shared" si="26"/>
        <v/>
      </c>
      <c r="E362" s="10" t="str">
        <f t="shared" si="27"/>
        <v/>
      </c>
      <c r="F362" s="26" t="str">
        <f t="shared" si="28"/>
        <v/>
      </c>
      <c r="G362" s="21"/>
      <c r="H362" s="11" t="str">
        <f t="shared" si="29"/>
        <v/>
      </c>
    </row>
    <row r="363" spans="1:8" ht="16.5" customHeight="1" x14ac:dyDescent="0.2">
      <c r="A363" s="12" t="str">
        <f>IF(AND(ISNUMBER(H362),H362&gt;0),348,"")</f>
        <v/>
      </c>
      <c r="B363" s="13" t="str">
        <f>IF(AND(ISNUMBER(H362),H362&gt;0),EDATE($C$10,348),"")</f>
        <v/>
      </c>
      <c r="C363" s="14" t="str">
        <f t="shared" si="25"/>
        <v/>
      </c>
      <c r="D363" s="15" t="str">
        <f t="shared" si="26"/>
        <v/>
      </c>
      <c r="E363" s="16" t="str">
        <f t="shared" si="27"/>
        <v/>
      </c>
      <c r="F363" s="27" t="str">
        <f t="shared" si="28"/>
        <v/>
      </c>
      <c r="G363" s="21"/>
      <c r="H363" s="17" t="str">
        <f t="shared" si="29"/>
        <v/>
      </c>
    </row>
    <row r="364" spans="1:8" ht="16.5" customHeight="1" x14ac:dyDescent="0.2">
      <c r="A364" s="6" t="str">
        <f>IF(AND(ISNUMBER(H363),H363&gt;0),349,"")</f>
        <v/>
      </c>
      <c r="B364" s="7" t="str">
        <f>IF(AND(ISNUMBER(H363),H363&gt;0),EDATE($C$10,349),"")</f>
        <v/>
      </c>
      <c r="C364" s="8" t="str">
        <f t="shared" si="25"/>
        <v/>
      </c>
      <c r="D364" s="9" t="str">
        <f t="shared" si="26"/>
        <v/>
      </c>
      <c r="E364" s="10" t="str">
        <f t="shared" si="27"/>
        <v/>
      </c>
      <c r="F364" s="26" t="str">
        <f t="shared" si="28"/>
        <v/>
      </c>
      <c r="G364" s="21"/>
      <c r="H364" s="11" t="str">
        <f t="shared" si="29"/>
        <v/>
      </c>
    </row>
    <row r="365" spans="1:8" ht="16.5" customHeight="1" x14ac:dyDescent="0.2">
      <c r="A365" s="12" t="str">
        <f>IF(AND(ISNUMBER(H364),H364&gt;0),350,"")</f>
        <v/>
      </c>
      <c r="B365" s="13" t="str">
        <f>IF(AND(ISNUMBER(H364),H364&gt;0),EDATE($C$10,350),"")</f>
        <v/>
      </c>
      <c r="C365" s="14" t="str">
        <f t="shared" si="25"/>
        <v/>
      </c>
      <c r="D365" s="15" t="str">
        <f t="shared" si="26"/>
        <v/>
      </c>
      <c r="E365" s="16" t="str">
        <f t="shared" si="27"/>
        <v/>
      </c>
      <c r="F365" s="27" t="str">
        <f t="shared" si="28"/>
        <v/>
      </c>
      <c r="G365" s="21"/>
      <c r="H365" s="17" t="str">
        <f t="shared" si="29"/>
        <v/>
      </c>
    </row>
    <row r="366" spans="1:8" ht="16.5" customHeight="1" x14ac:dyDescent="0.2">
      <c r="A366" s="6" t="str">
        <f>IF(AND(ISNUMBER(H365),H365&gt;0),351,"")</f>
        <v/>
      </c>
      <c r="B366" s="7" t="str">
        <f>IF(AND(ISNUMBER(H365),H365&gt;0),EDATE($C$10,351),"")</f>
        <v/>
      </c>
      <c r="C366" s="8" t="str">
        <f t="shared" si="25"/>
        <v/>
      </c>
      <c r="D366" s="9" t="str">
        <f t="shared" si="26"/>
        <v/>
      </c>
      <c r="E366" s="10" t="str">
        <f t="shared" si="27"/>
        <v/>
      </c>
      <c r="F366" s="26" t="str">
        <f t="shared" si="28"/>
        <v/>
      </c>
      <c r="G366" s="21"/>
      <c r="H366" s="11" t="str">
        <f t="shared" si="29"/>
        <v/>
      </c>
    </row>
    <row r="367" spans="1:8" ht="16.5" customHeight="1" x14ac:dyDescent="0.2">
      <c r="A367" s="12" t="str">
        <f>IF(AND(ISNUMBER(H366),H366&gt;0),352,"")</f>
        <v/>
      </c>
      <c r="B367" s="13" t="str">
        <f>IF(AND(ISNUMBER(H366),H366&gt;0),EDATE($C$10,352),"")</f>
        <v/>
      </c>
      <c r="C367" s="14" t="str">
        <f t="shared" si="25"/>
        <v/>
      </c>
      <c r="D367" s="15" t="str">
        <f t="shared" si="26"/>
        <v/>
      </c>
      <c r="E367" s="16" t="str">
        <f t="shared" si="27"/>
        <v/>
      </c>
      <c r="F367" s="27" t="str">
        <f t="shared" si="28"/>
        <v/>
      </c>
      <c r="G367" s="21"/>
      <c r="H367" s="17" t="str">
        <f t="shared" si="29"/>
        <v/>
      </c>
    </row>
    <row r="368" spans="1:8" ht="16.5" customHeight="1" x14ac:dyDescent="0.2">
      <c r="A368" s="6" t="str">
        <f>IF(AND(ISNUMBER(H367),H367&gt;0),353,"")</f>
        <v/>
      </c>
      <c r="B368" s="7" t="str">
        <f>IF(AND(ISNUMBER(H367),H367&gt;0),EDATE($C$10,353),"")</f>
        <v/>
      </c>
      <c r="C368" s="8" t="str">
        <f t="shared" si="25"/>
        <v/>
      </c>
      <c r="D368" s="9" t="str">
        <f t="shared" si="26"/>
        <v/>
      </c>
      <c r="E368" s="10" t="str">
        <f t="shared" si="27"/>
        <v/>
      </c>
      <c r="F368" s="26" t="str">
        <f t="shared" si="28"/>
        <v/>
      </c>
      <c r="G368" s="21"/>
      <c r="H368" s="11" t="str">
        <f t="shared" si="29"/>
        <v/>
      </c>
    </row>
    <row r="369" spans="1:8" ht="16.5" customHeight="1" x14ac:dyDescent="0.2">
      <c r="A369" s="12" t="str">
        <f>IF(AND(ISNUMBER(H368),H368&gt;0),354,"")</f>
        <v/>
      </c>
      <c r="B369" s="13" t="str">
        <f>IF(AND(ISNUMBER(H368),H368&gt;0),EDATE($C$10,354),"")</f>
        <v/>
      </c>
      <c r="C369" s="14" t="str">
        <f t="shared" si="25"/>
        <v/>
      </c>
      <c r="D369" s="15" t="str">
        <f t="shared" si="26"/>
        <v/>
      </c>
      <c r="E369" s="16" t="str">
        <f t="shared" si="27"/>
        <v/>
      </c>
      <c r="F369" s="27" t="str">
        <f t="shared" si="28"/>
        <v/>
      </c>
      <c r="G369" s="21"/>
      <c r="H369" s="17" t="str">
        <f t="shared" si="29"/>
        <v/>
      </c>
    </row>
    <row r="370" spans="1:8" ht="16.5" customHeight="1" x14ac:dyDescent="0.2">
      <c r="A370" s="6" t="str">
        <f>IF(AND(ISNUMBER(H369),H369&gt;0),355,"")</f>
        <v/>
      </c>
      <c r="B370" s="7" t="str">
        <f>IF(AND(ISNUMBER(H369),H369&gt;0),EDATE($C$10,355),"")</f>
        <v/>
      </c>
      <c r="C370" s="8" t="str">
        <f t="shared" si="25"/>
        <v/>
      </c>
      <c r="D370" s="9" t="str">
        <f t="shared" si="26"/>
        <v/>
      </c>
      <c r="E370" s="10" t="str">
        <f t="shared" si="27"/>
        <v/>
      </c>
      <c r="F370" s="26" t="str">
        <f t="shared" si="28"/>
        <v/>
      </c>
      <c r="G370" s="21"/>
      <c r="H370" s="11" t="str">
        <f t="shared" si="29"/>
        <v/>
      </c>
    </row>
    <row r="371" spans="1:8" ht="16.5" customHeight="1" x14ac:dyDescent="0.2">
      <c r="A371" s="12" t="str">
        <f>IF(AND(ISNUMBER(H370),H370&gt;0),356,"")</f>
        <v/>
      </c>
      <c r="B371" s="13" t="str">
        <f>IF(AND(ISNUMBER(H370),H370&gt;0),EDATE($C$10,356),"")</f>
        <v/>
      </c>
      <c r="C371" s="14" t="str">
        <f t="shared" si="25"/>
        <v/>
      </c>
      <c r="D371" s="15" t="str">
        <f t="shared" si="26"/>
        <v/>
      </c>
      <c r="E371" s="16" t="str">
        <f t="shared" si="27"/>
        <v/>
      </c>
      <c r="F371" s="27" t="str">
        <f t="shared" si="28"/>
        <v/>
      </c>
      <c r="G371" s="21"/>
      <c r="H371" s="17" t="str">
        <f t="shared" si="29"/>
        <v/>
      </c>
    </row>
    <row r="372" spans="1:8" ht="16.5" customHeight="1" x14ac:dyDescent="0.2">
      <c r="A372" s="6" t="str">
        <f>IF(AND(ISNUMBER(H371),H371&gt;0),357,"")</f>
        <v/>
      </c>
      <c r="B372" s="7" t="str">
        <f>IF(AND(ISNUMBER(H371),H371&gt;0),EDATE($C$10,357),"")</f>
        <v/>
      </c>
      <c r="C372" s="8" t="str">
        <f t="shared" si="25"/>
        <v/>
      </c>
      <c r="D372" s="9" t="str">
        <f t="shared" si="26"/>
        <v/>
      </c>
      <c r="E372" s="10" t="str">
        <f t="shared" si="27"/>
        <v/>
      </c>
      <c r="F372" s="26" t="str">
        <f t="shared" si="28"/>
        <v/>
      </c>
      <c r="G372" s="21"/>
      <c r="H372" s="11" t="str">
        <f t="shared" si="29"/>
        <v/>
      </c>
    </row>
    <row r="373" spans="1:8" ht="16.5" customHeight="1" x14ac:dyDescent="0.2">
      <c r="A373" s="12" t="str">
        <f>IF(AND(ISNUMBER(H372),H372&gt;0),358,"")</f>
        <v/>
      </c>
      <c r="B373" s="13" t="str">
        <f>IF(AND(ISNUMBER(H372),H372&gt;0),EDATE($C$10,358),"")</f>
        <v/>
      </c>
      <c r="C373" s="14" t="str">
        <f t="shared" si="25"/>
        <v/>
      </c>
      <c r="D373" s="15" t="str">
        <f t="shared" si="26"/>
        <v/>
      </c>
      <c r="E373" s="16" t="str">
        <f t="shared" si="27"/>
        <v/>
      </c>
      <c r="F373" s="27" t="str">
        <f t="shared" si="28"/>
        <v/>
      </c>
      <c r="G373" s="21"/>
      <c r="H373" s="17" t="str">
        <f t="shared" si="29"/>
        <v/>
      </c>
    </row>
    <row r="374" spans="1:8" ht="16.5" customHeight="1" x14ac:dyDescent="0.2">
      <c r="A374" s="6" t="str">
        <f>IF(AND(ISNUMBER(H373),H373&gt;0),359,"")</f>
        <v/>
      </c>
      <c r="B374" s="7" t="str">
        <f>IF(AND(ISNUMBER(H373),H373&gt;0),EDATE($C$10,359),"")</f>
        <v/>
      </c>
      <c r="C374" s="8" t="str">
        <f t="shared" si="25"/>
        <v/>
      </c>
      <c r="D374" s="9" t="str">
        <f t="shared" si="26"/>
        <v/>
      </c>
      <c r="E374" s="10" t="str">
        <f t="shared" si="27"/>
        <v/>
      </c>
      <c r="F374" s="26" t="str">
        <f t="shared" si="28"/>
        <v/>
      </c>
      <c r="G374" s="21"/>
      <c r="H374" s="11" t="str">
        <f t="shared" si="29"/>
        <v/>
      </c>
    </row>
    <row r="375" spans="1:8" ht="16.5" customHeight="1" x14ac:dyDescent="0.2">
      <c r="A375" s="12" t="str">
        <f>IF(AND(ISNUMBER(H374),H374&gt;0),360,"")</f>
        <v/>
      </c>
      <c r="B375" s="13" t="str">
        <f>IF(AND(ISNUMBER(H374),H374&gt;0),EDATE($C$10,360),"")</f>
        <v/>
      </c>
      <c r="C375" s="14" t="str">
        <f t="shared" si="25"/>
        <v/>
      </c>
      <c r="D375" s="15" t="str">
        <f t="shared" si="26"/>
        <v/>
      </c>
      <c r="E375" s="16" t="str">
        <f t="shared" si="27"/>
        <v/>
      </c>
      <c r="F375" s="27" t="str">
        <f t="shared" si="28"/>
        <v/>
      </c>
      <c r="G375" s="21"/>
      <c r="H375" s="17" t="str">
        <f t="shared" si="29"/>
        <v/>
      </c>
    </row>
    <row r="376" spans="1:8" ht="21.75" customHeight="1" x14ac:dyDescent="0.2">
      <c r="A376" s="30" t="s">
        <v>22</v>
      </c>
      <c r="B376" s="30"/>
      <c r="C376" s="30"/>
      <c r="D376" s="18">
        <f>SUMIF(A16:A375,"&lt;&gt;",D16:D375)</f>
        <v>552.45000000000005</v>
      </c>
      <c r="E376" s="18">
        <f>SUMIF(A16:A375,"&lt;&gt;",E16:E375)</f>
        <v>10000</v>
      </c>
      <c r="F376" s="18">
        <f>SUMIF(A16:A375,"&lt;&gt;",F16:F375)</f>
        <v>10552.449999999999</v>
      </c>
      <c r="G376" s="19">
        <f>IFERROR(SUMIF(A16:A375,"&lt;&gt;",G16:G375),"")</f>
        <v>0</v>
      </c>
      <c r="H376" s="20"/>
    </row>
    <row r="377" spans="1:8" ht="21" customHeight="1" x14ac:dyDescent="0.2">
      <c r="A377" s="42" t="s">
        <v>25</v>
      </c>
      <c r="B377" s="42"/>
      <c r="C377" s="42"/>
      <c r="D377" s="42"/>
      <c r="E377" s="42"/>
      <c r="F377" s="42"/>
      <c r="G377" s="42"/>
      <c r="H377" s="42"/>
    </row>
    <row r="378" spans="1:8" ht="52" customHeight="1" x14ac:dyDescent="0.2">
      <c r="A378" s="43" t="s">
        <v>26</v>
      </c>
      <c r="B378" s="43"/>
      <c r="C378" s="43"/>
      <c r="D378" s="43"/>
      <c r="E378" s="43"/>
      <c r="F378" s="43"/>
      <c r="G378" s="43"/>
      <c r="H378" s="43"/>
    </row>
  </sheetData>
  <sheetProtection algorithmName="SHA-512" hashValue="pth9oRiwgLXcx7XJ/+pgZr7x9riQPTl/x8/HDpYWw9UoD7PGI5gwZaU+5k7ucPT3HRSTICK3TOMSIDDZf9QARg==" saltValue="QE/TQpc91j5begyWwW1R5w==" spinCount="100000" sheet="1" objects="1" scenarios="1" selectLockedCells="1"/>
  <mergeCells count="19">
    <mergeCell ref="A6:C6"/>
    <mergeCell ref="A377:H377"/>
    <mergeCell ref="A378:H378"/>
    <mergeCell ref="A10:B10"/>
    <mergeCell ref="A376:C376"/>
    <mergeCell ref="A1:H1"/>
    <mergeCell ref="A2:H2"/>
    <mergeCell ref="A3:H3"/>
    <mergeCell ref="A4:H4"/>
    <mergeCell ref="F7:G7"/>
    <mergeCell ref="F8:G8"/>
    <mergeCell ref="F9:G9"/>
    <mergeCell ref="F10:G10"/>
    <mergeCell ref="F6:H6"/>
    <mergeCell ref="A12:H12"/>
    <mergeCell ref="A14:H14"/>
    <mergeCell ref="A7:B7"/>
    <mergeCell ref="A8:B8"/>
    <mergeCell ref="A9:B9"/>
  </mergeCells>
  <hyperlinks>
    <hyperlink ref="A2" r:id="rId1" xr:uid="{00000000-0004-0000-0000-000000000000}"/>
  </hyperlinks>
  <printOptions horizontalCentered="1" verticalCentered="1"/>
  <pageMargins left="0" right="0" top="0" bottom="0" header="0.511811023622047" footer="0.511811023622047"/>
  <pageSetup paperSize="9" fitToHeight="7"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Remboursement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Grisiger, Laurent</cp:lastModifiedBy>
  <cp:revision>0</cp:revision>
  <dcterms:created xsi:type="dcterms:W3CDTF">2026-04-09T19:56:23Z</dcterms:created>
  <dcterms:modified xsi:type="dcterms:W3CDTF">2026-04-14T18:06:55Z</dcterms:modified>
  <dc:language>en-US</dc:language>
</cp:coreProperties>
</file>