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Users/laurentgrisiger/kDrive/Documents internes/Fichiers Calculation/Pret site Internet/"/>
    </mc:Choice>
  </mc:AlternateContent>
  <xr:revisionPtr revIDLastSave="0" documentId="13_ncr:1_{3712C8D5-0FE6-BC4B-8B44-5D18E6C9ACC5}" xr6:coauthVersionLast="47" xr6:coauthVersionMax="47" xr10:uidLastSave="{00000000-0000-0000-0000-000000000000}"/>
  <bookViews>
    <workbookView xWindow="0" yWindow="600" windowWidth="26840" windowHeight="18620" tabRatio="500" xr2:uid="{00000000-000D-0000-FFFF-FFFF00000000}"/>
  </bookViews>
  <sheets>
    <sheet name="Remboursement"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6" i="1" l="1"/>
  <c r="B16" i="1"/>
  <c r="A16" i="1"/>
  <c r="G9" i="1"/>
  <c r="G10" i="1" s="1"/>
  <c r="G8" i="1"/>
  <c r="G7" i="1"/>
  <c r="D16" i="1" l="1"/>
  <c r="F16" i="1" l="1"/>
  <c r="E16" i="1" l="1"/>
  <c r="G16" i="1"/>
  <c r="C17" i="1" l="1"/>
  <c r="D17" i="1" s="1"/>
  <c r="F17" i="1" s="1"/>
  <c r="E17" i="1" s="1"/>
  <c r="A17" i="1"/>
  <c r="B17" i="1"/>
  <c r="G17" i="1" l="1"/>
  <c r="A18" i="1" l="1"/>
  <c r="C18" i="1"/>
  <c r="B18" i="1"/>
  <c r="D18" i="1" l="1"/>
  <c r="F18" i="1" s="1"/>
  <c r="E18" i="1" l="1"/>
  <c r="G18" i="1"/>
  <c r="B19" i="1" l="1"/>
  <c r="A19" i="1"/>
  <c r="C19" i="1"/>
  <c r="D19" i="1" s="1"/>
  <c r="F19" i="1" l="1"/>
  <c r="E19" i="1" s="1"/>
  <c r="G19" i="1" l="1"/>
  <c r="C20" i="1" l="1"/>
  <c r="B20" i="1"/>
  <c r="A20" i="1"/>
  <c r="D20" i="1"/>
  <c r="F20" i="1" l="1"/>
  <c r="E20" i="1" s="1"/>
  <c r="G20" i="1" l="1"/>
  <c r="C21" i="1" l="1"/>
  <c r="D21" i="1" s="1"/>
  <c r="F21" i="1" s="1"/>
  <c r="E21" i="1" s="1"/>
  <c r="B21" i="1"/>
  <c r="A21" i="1"/>
  <c r="G21" i="1" l="1"/>
  <c r="A22" i="1" l="1"/>
  <c r="C22" i="1"/>
  <c r="D22" i="1" s="1"/>
  <c r="B22" i="1"/>
  <c r="F22" i="1" l="1"/>
  <c r="E22" i="1" s="1"/>
  <c r="G22" i="1" l="1"/>
  <c r="A23" i="1" l="1"/>
  <c r="C23" i="1"/>
  <c r="B23" i="1"/>
  <c r="D23" i="1" l="1"/>
  <c r="F23" i="1" l="1"/>
  <c r="E23" i="1" s="1"/>
  <c r="G23" i="1" l="1"/>
  <c r="B24" i="1" l="1"/>
  <c r="C24" i="1"/>
  <c r="D24" i="1"/>
  <c r="A24" i="1"/>
  <c r="F24" i="1" l="1"/>
  <c r="E24" i="1" s="1"/>
  <c r="G24" i="1" l="1"/>
  <c r="B25" i="1" s="1"/>
  <c r="C25" i="1" l="1"/>
  <c r="A25" i="1"/>
  <c r="D25" i="1"/>
  <c r="F25" i="1" l="1"/>
  <c r="E25" i="1" s="1"/>
  <c r="G25" i="1" l="1"/>
  <c r="A26" i="1" l="1"/>
  <c r="B26" i="1"/>
  <c r="C26" i="1"/>
  <c r="D26" i="1" l="1"/>
  <c r="F26" i="1"/>
  <c r="E26" i="1" s="1"/>
  <c r="G26" i="1" l="1"/>
  <c r="A27" i="1" s="1"/>
  <c r="B27" i="1" l="1"/>
  <c r="C27" i="1"/>
  <c r="D27" i="1" s="1"/>
  <c r="F27" i="1" s="1"/>
  <c r="E27" i="1" l="1"/>
  <c r="G27" i="1"/>
  <c r="C28" i="1" l="1"/>
  <c r="D28" i="1" s="1"/>
  <c r="F28" i="1" s="1"/>
  <c r="E28" i="1" s="1"/>
  <c r="B28" i="1"/>
  <c r="A28" i="1"/>
  <c r="G28" i="1" l="1"/>
  <c r="C29" i="1" l="1"/>
  <c r="D29" i="1" s="1"/>
  <c r="B29" i="1"/>
  <c r="A29" i="1"/>
  <c r="F29" i="1" l="1"/>
  <c r="E29" i="1" s="1"/>
  <c r="G29" i="1" l="1"/>
  <c r="C30" i="1" l="1"/>
  <c r="D30" i="1" s="1"/>
  <c r="B30" i="1"/>
  <c r="A30" i="1"/>
  <c r="F30" i="1" l="1"/>
  <c r="E30" i="1" s="1"/>
  <c r="G30" i="1" l="1"/>
  <c r="A31" i="1" l="1"/>
  <c r="B31" i="1"/>
  <c r="C31" i="1"/>
  <c r="D31" i="1" l="1"/>
  <c r="F31" i="1" s="1"/>
  <c r="E31" i="1" s="1"/>
  <c r="G31" i="1" l="1"/>
  <c r="A32" i="1" s="1"/>
  <c r="B32" i="1" l="1"/>
  <c r="C32" i="1"/>
  <c r="D32" i="1" s="1"/>
  <c r="F32" i="1" l="1"/>
  <c r="E32" i="1" s="1"/>
  <c r="G32" i="1"/>
  <c r="C33" i="1" s="1"/>
  <c r="D33" i="1" s="1"/>
  <c r="A33" i="1" l="1"/>
  <c r="B33" i="1"/>
  <c r="F33" i="1"/>
  <c r="E33" i="1" s="1"/>
  <c r="G33" i="1" l="1"/>
  <c r="A34" i="1" l="1"/>
  <c r="C34" i="1"/>
  <c r="B34" i="1"/>
  <c r="D34" i="1" l="1"/>
  <c r="F34" i="1" l="1"/>
  <c r="E34" i="1" s="1"/>
  <c r="G34" i="1" l="1"/>
  <c r="B35" i="1" l="1"/>
  <c r="A35" i="1"/>
  <c r="C35" i="1"/>
  <c r="D35" i="1"/>
  <c r="F35" i="1" l="1"/>
  <c r="E35" i="1" s="1"/>
  <c r="G35" i="1"/>
  <c r="C36" i="1" l="1"/>
  <c r="D36" i="1" s="1"/>
  <c r="F36" i="1" s="1"/>
  <c r="E36" i="1" s="1"/>
  <c r="B36" i="1"/>
  <c r="A36" i="1"/>
  <c r="G36" i="1" l="1"/>
  <c r="C37" i="1" l="1"/>
  <c r="D37" i="1" s="1"/>
  <c r="B37" i="1"/>
  <c r="A37" i="1"/>
  <c r="F37" i="1" l="1"/>
  <c r="E37" i="1" s="1"/>
  <c r="G37" i="1" l="1"/>
  <c r="A38" i="1" l="1"/>
  <c r="C38" i="1"/>
  <c r="D38" i="1" s="1"/>
  <c r="F38" i="1" s="1"/>
  <c r="E38" i="1" s="1"/>
  <c r="B38" i="1"/>
  <c r="G38" i="1" l="1"/>
  <c r="A39" i="1" l="1"/>
  <c r="C39" i="1"/>
  <c r="B39" i="1"/>
  <c r="D39" i="1" l="1"/>
  <c r="F39" i="1" s="1"/>
  <c r="E39" i="1" s="1"/>
  <c r="G39" i="1" l="1"/>
  <c r="B40" i="1" s="1"/>
  <c r="A40" i="1" l="1"/>
  <c r="C40" i="1"/>
  <c r="D40" i="1" s="1"/>
  <c r="F40" i="1" s="1"/>
  <c r="E40" i="1" s="1"/>
  <c r="G40" i="1" l="1"/>
  <c r="C41" i="1" l="1"/>
  <c r="D41" i="1" s="1"/>
  <c r="B41" i="1"/>
  <c r="A41" i="1"/>
  <c r="F41" i="1" l="1"/>
  <c r="E41" i="1" s="1"/>
  <c r="G41" i="1" l="1"/>
  <c r="A42" i="1" l="1"/>
  <c r="C42" i="1"/>
  <c r="D42" i="1" s="1"/>
  <c r="B42" i="1"/>
  <c r="F42" i="1" l="1"/>
  <c r="E42" i="1" l="1"/>
  <c r="G42" i="1"/>
  <c r="B43" i="1" l="1"/>
  <c r="C43" i="1"/>
  <c r="D43" i="1" s="1"/>
  <c r="F43" i="1" s="1"/>
  <c r="E43" i="1" s="1"/>
  <c r="A43" i="1"/>
  <c r="G43" i="1" l="1"/>
  <c r="C44" i="1" l="1"/>
  <c r="D44" i="1" s="1"/>
  <c r="B44" i="1"/>
  <c r="A44" i="1"/>
  <c r="F44" i="1" l="1"/>
  <c r="E44" i="1" s="1"/>
  <c r="G44" i="1" l="1"/>
  <c r="C45" i="1" l="1"/>
  <c r="D45" i="1" s="1"/>
  <c r="F45" i="1" s="1"/>
  <c r="E45" i="1" s="1"/>
  <c r="B45" i="1"/>
  <c r="A45" i="1"/>
  <c r="G45" i="1" l="1"/>
  <c r="C46" i="1" l="1"/>
  <c r="D46" i="1" s="1"/>
  <c r="A46" i="1"/>
  <c r="B46" i="1"/>
  <c r="F46" i="1" l="1"/>
  <c r="E46" i="1" s="1"/>
  <c r="G46" i="1" l="1"/>
  <c r="C47" i="1" l="1"/>
  <c r="B47" i="1"/>
  <c r="A47" i="1"/>
  <c r="D47" i="1" l="1"/>
  <c r="F47" i="1" l="1"/>
  <c r="E47" i="1" s="1"/>
  <c r="G47" i="1" l="1"/>
  <c r="C48" i="1" l="1"/>
  <c r="D48" i="1"/>
  <c r="F48" i="1" s="1"/>
  <c r="G48" i="1" s="1"/>
  <c r="B48" i="1"/>
  <c r="A48" i="1"/>
  <c r="E48" i="1" l="1"/>
  <c r="B49" i="1"/>
  <c r="A49" i="1"/>
  <c r="C49" i="1"/>
  <c r="D49" i="1" s="1"/>
  <c r="F49" i="1" l="1"/>
  <c r="E49" i="1" s="1"/>
  <c r="G49" i="1" l="1"/>
  <c r="C50" i="1" l="1"/>
  <c r="D50" i="1" s="1"/>
  <c r="F50" i="1" s="1"/>
  <c r="E50" i="1" s="1"/>
  <c r="B50" i="1"/>
  <c r="A50" i="1"/>
  <c r="G50" i="1" l="1"/>
  <c r="C51" i="1" l="1"/>
  <c r="B51" i="1"/>
  <c r="A51" i="1"/>
  <c r="D51" i="1" l="1"/>
  <c r="F51" i="1" l="1"/>
  <c r="E51" i="1" s="1"/>
  <c r="G51" i="1" l="1"/>
  <c r="B52" i="1" l="1"/>
  <c r="A52" i="1"/>
  <c r="C52" i="1"/>
  <c r="D52" i="1" l="1"/>
  <c r="F52" i="1" l="1"/>
  <c r="E52" i="1" s="1"/>
  <c r="G52" i="1" l="1"/>
  <c r="C53" i="1" l="1"/>
  <c r="B53" i="1"/>
  <c r="A53" i="1"/>
  <c r="D53" i="1"/>
  <c r="F53" i="1" l="1"/>
  <c r="E53" i="1" s="1"/>
  <c r="G53" i="1" l="1"/>
  <c r="A54" i="1" s="1"/>
  <c r="B54" i="1" l="1"/>
  <c r="C54" i="1"/>
  <c r="D54" i="1" s="1"/>
  <c r="F54" i="1" l="1"/>
  <c r="E54" i="1" s="1"/>
  <c r="G54" i="1"/>
  <c r="B55" i="1" l="1"/>
  <c r="A55" i="1"/>
  <c r="C55" i="1"/>
  <c r="D55" i="1" s="1"/>
  <c r="F55" i="1" s="1"/>
  <c r="E55" i="1" s="1"/>
  <c r="G55" i="1" l="1"/>
  <c r="C56" i="1" s="1"/>
  <c r="D56" i="1" s="1"/>
  <c r="F56" i="1" s="1"/>
  <c r="B56" i="1" l="1"/>
  <c r="A56" i="1"/>
  <c r="E56" i="1"/>
  <c r="G56" i="1"/>
  <c r="B57" i="1" l="1"/>
  <c r="C57" i="1"/>
  <c r="D57" i="1" s="1"/>
  <c r="A57" i="1"/>
  <c r="F57" i="1" l="1"/>
  <c r="E57" i="1" s="1"/>
  <c r="G57" i="1" l="1"/>
  <c r="C58" i="1" l="1"/>
  <c r="D58" i="1" s="1"/>
  <c r="B58" i="1"/>
  <c r="A58" i="1"/>
  <c r="F58" i="1" l="1"/>
  <c r="E58" i="1" s="1"/>
  <c r="G58" i="1" l="1"/>
  <c r="A59" i="1" l="1"/>
  <c r="C59" i="1"/>
  <c r="B59" i="1"/>
  <c r="D59" i="1" l="1"/>
  <c r="F59" i="1" s="1"/>
  <c r="E59" i="1" s="1"/>
  <c r="G59" i="1" l="1"/>
  <c r="C60" i="1" l="1"/>
  <c r="B60" i="1"/>
  <c r="A60" i="1"/>
  <c r="D60" i="1" l="1"/>
  <c r="F60" i="1" l="1"/>
  <c r="E60" i="1" s="1"/>
  <c r="G60" i="1" l="1"/>
  <c r="C61" i="1" l="1"/>
  <c r="B61" i="1"/>
  <c r="A61" i="1"/>
  <c r="D61" i="1"/>
  <c r="F61" i="1" l="1"/>
  <c r="E61" i="1" s="1"/>
  <c r="G61" i="1" l="1"/>
  <c r="A62" i="1" s="1"/>
  <c r="B62" i="1" l="1"/>
  <c r="C62" i="1"/>
  <c r="D62" i="1" s="1"/>
  <c r="F62" i="1" s="1"/>
  <c r="E62" i="1" s="1"/>
  <c r="G62" i="1" l="1"/>
  <c r="B63" i="1" s="1"/>
  <c r="C63" i="1" l="1"/>
  <c r="D63" i="1" s="1"/>
  <c r="F63" i="1" s="1"/>
  <c r="E63" i="1" s="1"/>
  <c r="A63" i="1"/>
  <c r="G63" i="1" l="1"/>
  <c r="C64" i="1" s="1"/>
  <c r="D64" i="1" s="1"/>
  <c r="F64" i="1" s="1"/>
  <c r="B64" i="1" l="1"/>
  <c r="A64" i="1"/>
  <c r="G64" i="1"/>
  <c r="B65" i="1" s="1"/>
  <c r="E64" i="1"/>
  <c r="A65" i="1" l="1"/>
  <c r="C65" i="1"/>
  <c r="D65" i="1" s="1"/>
  <c r="F65" i="1" s="1"/>
  <c r="E65" i="1" s="1"/>
  <c r="G65" i="1" l="1"/>
  <c r="C66" i="1" s="1"/>
  <c r="A66" i="1"/>
  <c r="B66" i="1" l="1"/>
  <c r="D66" i="1"/>
  <c r="F66" i="1" s="1"/>
  <c r="E66" i="1" l="1"/>
  <c r="G66" i="1"/>
  <c r="C67" i="1" s="1"/>
  <c r="A67" i="1" l="1"/>
  <c r="B67" i="1"/>
  <c r="D67" i="1"/>
  <c r="F67" i="1" l="1"/>
  <c r="E67" i="1" s="1"/>
  <c r="G67" i="1" l="1"/>
  <c r="A68" i="1" l="1"/>
  <c r="B68" i="1"/>
  <c r="C68" i="1"/>
  <c r="D68" i="1" l="1"/>
  <c r="F68" i="1" s="1"/>
  <c r="E68" i="1" s="1"/>
  <c r="G68" i="1" l="1"/>
  <c r="A69" i="1" l="1"/>
  <c r="C69" i="1"/>
  <c r="B69" i="1"/>
  <c r="D69" i="1" l="1"/>
  <c r="F69" i="1" s="1"/>
  <c r="E69" i="1" s="1"/>
  <c r="G69" i="1" l="1"/>
  <c r="A70" i="1" l="1"/>
  <c r="C70" i="1"/>
  <c r="D70" i="1" s="1"/>
  <c r="F70" i="1" s="1"/>
  <c r="E70" i="1" s="1"/>
  <c r="B70" i="1"/>
  <c r="G70" i="1" l="1"/>
  <c r="B71" i="1" l="1"/>
  <c r="A71" i="1"/>
  <c r="C71" i="1"/>
  <c r="D71" i="1" l="1"/>
  <c r="F71" i="1" s="1"/>
  <c r="E71" i="1" s="1"/>
  <c r="G71" i="1" l="1"/>
  <c r="C72" i="1" l="1"/>
  <c r="D72" i="1" s="1"/>
  <c r="F72" i="1" s="1"/>
  <c r="E72" i="1" s="1"/>
  <c r="A72" i="1"/>
  <c r="B72" i="1"/>
  <c r="G72" i="1" l="1"/>
  <c r="B73" i="1" l="1"/>
  <c r="C73" i="1"/>
  <c r="D73" i="1" s="1"/>
  <c r="A73" i="1"/>
  <c r="F73" i="1" l="1"/>
  <c r="E73" i="1" s="1"/>
  <c r="G73" i="1" l="1"/>
  <c r="C74" i="1" l="1"/>
  <c r="D74" i="1" s="1"/>
  <c r="B74" i="1"/>
  <c r="A74" i="1"/>
  <c r="F74" i="1" l="1"/>
  <c r="E74" i="1" s="1"/>
  <c r="G74" i="1" l="1"/>
  <c r="A75" i="1" l="1"/>
  <c r="B75" i="1"/>
  <c r="C75" i="1"/>
  <c r="D75" i="1" l="1"/>
  <c r="F75" i="1" s="1"/>
  <c r="E75" i="1" s="1"/>
  <c r="G75" i="1" l="1"/>
  <c r="C76" i="1" l="1"/>
  <c r="B76" i="1"/>
  <c r="A76" i="1"/>
  <c r="D76" i="1" l="1"/>
  <c r="F76" i="1" s="1"/>
  <c r="E76" i="1" s="1"/>
  <c r="G76" i="1" l="1"/>
  <c r="B77" i="1" l="1"/>
  <c r="C77" i="1"/>
  <c r="A77" i="1"/>
  <c r="D77" i="1" l="1"/>
  <c r="F77" i="1" s="1"/>
  <c r="E77" i="1" l="1"/>
  <c r="G77" i="1"/>
  <c r="A78" i="1" l="1"/>
  <c r="B78" i="1"/>
  <c r="C78" i="1"/>
  <c r="D78" i="1" l="1"/>
  <c r="F78" i="1" l="1"/>
  <c r="E78" i="1" s="1"/>
  <c r="G78" i="1" l="1"/>
  <c r="B79" i="1" l="1"/>
  <c r="C79" i="1"/>
  <c r="D79" i="1" s="1"/>
  <c r="A79" i="1"/>
  <c r="F79" i="1" l="1"/>
  <c r="E79" i="1" s="1"/>
  <c r="G79" i="1" l="1"/>
  <c r="C80" i="1"/>
  <c r="D80" i="1" s="1"/>
  <c r="A80" i="1"/>
  <c r="B80" i="1"/>
  <c r="F80" i="1" l="1"/>
  <c r="E80" i="1" s="1"/>
  <c r="G80" i="1" l="1"/>
  <c r="B81" i="1" l="1"/>
  <c r="A81" i="1"/>
  <c r="C81" i="1"/>
  <c r="D81" i="1" s="1"/>
  <c r="F81" i="1" l="1"/>
  <c r="E81" i="1" s="1"/>
  <c r="G81" i="1" l="1"/>
  <c r="C82" i="1" l="1"/>
  <c r="D82" i="1" s="1"/>
  <c r="F82" i="1" s="1"/>
  <c r="B82" i="1"/>
  <c r="A82" i="1"/>
  <c r="E82" i="1" l="1"/>
  <c r="G82" i="1"/>
  <c r="C83" i="1" l="1"/>
  <c r="B83" i="1"/>
  <c r="A83" i="1"/>
  <c r="D83" i="1" l="1"/>
  <c r="F83" i="1" l="1"/>
  <c r="E83" i="1" s="1"/>
  <c r="G83" i="1" l="1"/>
  <c r="B84" i="1" l="1"/>
  <c r="A84" i="1"/>
  <c r="C84" i="1"/>
  <c r="D84" i="1" l="1"/>
  <c r="F84" i="1" l="1"/>
  <c r="E84" i="1" s="1"/>
  <c r="G84" i="1" l="1"/>
  <c r="C85" i="1" l="1"/>
  <c r="D85" i="1" s="1"/>
  <c r="F85" i="1" s="1"/>
  <c r="E85" i="1" s="1"/>
  <c r="B85" i="1"/>
  <c r="A85" i="1"/>
  <c r="G85" i="1" l="1"/>
  <c r="A86" i="1" s="1"/>
  <c r="B86" i="1" l="1"/>
  <c r="C86" i="1"/>
  <c r="D86" i="1" s="1"/>
  <c r="F86" i="1" s="1"/>
  <c r="E86" i="1" s="1"/>
  <c r="G86" i="1" l="1"/>
  <c r="B87" i="1" s="1"/>
  <c r="A87" i="1" l="1"/>
  <c r="C87" i="1"/>
  <c r="D87" i="1" s="1"/>
  <c r="F87" i="1" s="1"/>
  <c r="E87" i="1" s="1"/>
  <c r="G87" i="1" l="1"/>
  <c r="C88" i="1" l="1"/>
  <c r="D88" i="1" s="1"/>
  <c r="F88" i="1" s="1"/>
  <c r="A88" i="1"/>
  <c r="B88" i="1"/>
  <c r="E88" i="1" l="1"/>
  <c r="G88" i="1"/>
  <c r="B89" i="1" l="1"/>
  <c r="C89" i="1"/>
  <c r="D89" i="1" s="1"/>
  <c r="A89" i="1"/>
  <c r="F89" i="1" l="1"/>
  <c r="E89" i="1" s="1"/>
  <c r="G89" i="1" l="1"/>
  <c r="C90" i="1" l="1"/>
  <c r="B90" i="1"/>
  <c r="A90" i="1"/>
  <c r="D90" i="1" l="1"/>
  <c r="F90" i="1" s="1"/>
  <c r="E90" i="1" s="1"/>
  <c r="G90" i="1" l="1"/>
  <c r="A91" i="1" s="1"/>
  <c r="B91" i="1" l="1"/>
  <c r="C91" i="1"/>
  <c r="D91" i="1" s="1"/>
  <c r="F91" i="1" s="1"/>
  <c r="E91" i="1" s="1"/>
  <c r="G91" i="1" l="1"/>
  <c r="C92" i="1" l="1"/>
  <c r="B92" i="1"/>
  <c r="A92" i="1"/>
  <c r="D92" i="1" l="1"/>
  <c r="F92" i="1" s="1"/>
  <c r="E92" i="1" s="1"/>
  <c r="G92" i="1" l="1"/>
  <c r="C93" i="1" l="1"/>
  <c r="D93" i="1" s="1"/>
  <c r="B93" i="1"/>
  <c r="A93" i="1"/>
  <c r="F93" i="1" l="1"/>
  <c r="E93" i="1" s="1"/>
  <c r="G93" i="1" l="1"/>
  <c r="A94" i="1" s="1"/>
  <c r="C94" i="1" l="1"/>
  <c r="B94" i="1"/>
  <c r="D94" i="1"/>
  <c r="F94" i="1" s="1"/>
  <c r="E94" i="1" s="1"/>
  <c r="G94" i="1" l="1"/>
  <c r="B95" i="1" s="1"/>
  <c r="A95" i="1" l="1"/>
  <c r="C95" i="1"/>
  <c r="D95" i="1" s="1"/>
  <c r="F95" i="1" s="1"/>
  <c r="E95" i="1" s="1"/>
  <c r="G95" i="1" l="1"/>
  <c r="C96" i="1" s="1"/>
  <c r="B96" i="1" l="1"/>
  <c r="D96" i="1"/>
  <c r="F96" i="1" s="1"/>
  <c r="G96" i="1" s="1"/>
  <c r="B97" i="1" s="1"/>
  <c r="A96" i="1"/>
  <c r="A97" i="1" l="1"/>
  <c r="C97" i="1"/>
  <c r="D97" i="1" s="1"/>
  <c r="F97" i="1" s="1"/>
  <c r="E97" i="1" s="1"/>
  <c r="E96" i="1"/>
  <c r="G97" i="1" l="1"/>
  <c r="C98" i="1" l="1"/>
  <c r="D98" i="1"/>
  <c r="F98" i="1" s="1"/>
  <c r="E98" i="1" s="1"/>
  <c r="B98" i="1"/>
  <c r="A98" i="1"/>
  <c r="G98" i="1" l="1"/>
  <c r="C99" i="1" l="1"/>
  <c r="D99" i="1" s="1"/>
  <c r="B99" i="1"/>
  <c r="A99" i="1"/>
  <c r="F99" i="1" l="1"/>
  <c r="E99" i="1" s="1"/>
  <c r="G99" i="1" l="1"/>
  <c r="C100" i="1" l="1"/>
  <c r="D100" i="1" s="1"/>
  <c r="F100" i="1" s="1"/>
  <c r="E100" i="1" s="1"/>
  <c r="B100" i="1"/>
  <c r="A100" i="1"/>
  <c r="G100" i="1" l="1"/>
  <c r="B101" i="1" l="1"/>
  <c r="C101" i="1"/>
  <c r="D101" i="1" s="1"/>
  <c r="A101" i="1"/>
  <c r="F101" i="1" l="1"/>
  <c r="E101" i="1" s="1"/>
  <c r="G101" i="1" l="1"/>
  <c r="B102" i="1" l="1"/>
  <c r="A102" i="1"/>
  <c r="C102" i="1"/>
  <c r="D102" i="1" l="1"/>
  <c r="F102" i="1" s="1"/>
  <c r="E102" i="1" s="1"/>
  <c r="G102" i="1" l="1"/>
  <c r="B103" i="1" l="1"/>
  <c r="A103" i="1"/>
  <c r="C103" i="1"/>
  <c r="D103" i="1" l="1"/>
  <c r="F103" i="1" s="1"/>
  <c r="E103" i="1" s="1"/>
  <c r="G103" i="1" l="1"/>
  <c r="A104" i="1" s="1"/>
  <c r="C104" i="1" l="1"/>
  <c r="B104" i="1"/>
  <c r="D104" i="1"/>
  <c r="F104" i="1" s="1"/>
  <c r="E104" i="1" s="1"/>
  <c r="G104" i="1" l="1"/>
  <c r="A105" i="1" l="1"/>
  <c r="B105" i="1"/>
  <c r="C105" i="1"/>
  <c r="D105" i="1" s="1"/>
  <c r="F105" i="1" l="1"/>
  <c r="E105" i="1" s="1"/>
  <c r="G105" i="1" l="1"/>
  <c r="B106" i="1" s="1"/>
  <c r="C106" i="1" l="1"/>
  <c r="A106" i="1"/>
  <c r="D106" i="1"/>
  <c r="F106" i="1" s="1"/>
  <c r="E106" i="1" l="1"/>
  <c r="G106" i="1"/>
  <c r="C107" i="1" s="1"/>
  <c r="D107" i="1" s="1"/>
  <c r="F107" i="1" s="1"/>
  <c r="B107" i="1" l="1"/>
  <c r="A107" i="1"/>
  <c r="E107" i="1"/>
  <c r="G107" i="1"/>
  <c r="C108" i="1" l="1"/>
  <c r="B108" i="1"/>
  <c r="A108" i="1"/>
  <c r="D108" i="1" l="1"/>
  <c r="F108" i="1" l="1"/>
  <c r="E108" i="1" s="1"/>
  <c r="G108" i="1" l="1"/>
  <c r="A109" i="1" l="1"/>
  <c r="C109" i="1"/>
  <c r="B109" i="1"/>
  <c r="D109" i="1" l="1"/>
  <c r="F109" i="1" l="1"/>
  <c r="E109" i="1" s="1"/>
  <c r="G109" i="1" l="1"/>
  <c r="C110" i="1" l="1"/>
  <c r="D110" i="1" s="1"/>
  <c r="A110" i="1"/>
  <c r="B110" i="1"/>
  <c r="F110" i="1" l="1"/>
  <c r="G110" i="1" s="1"/>
  <c r="E110" i="1" l="1"/>
  <c r="C111" i="1"/>
  <c r="D111" i="1" s="1"/>
  <c r="F111" i="1" s="1"/>
  <c r="E111" i="1" s="1"/>
  <c r="A111" i="1"/>
  <c r="B111" i="1"/>
  <c r="G111" i="1" l="1"/>
  <c r="C112" i="1" s="1"/>
  <c r="A112" i="1" l="1"/>
  <c r="B112" i="1"/>
  <c r="D112" i="1"/>
  <c r="F112" i="1" s="1"/>
  <c r="E112" i="1" s="1"/>
  <c r="G112" i="1" l="1"/>
  <c r="A113" i="1"/>
  <c r="C113" i="1"/>
  <c r="B113" i="1"/>
  <c r="D113" i="1" l="1"/>
  <c r="F113" i="1" s="1"/>
  <c r="E113" i="1" s="1"/>
  <c r="G113" i="1" l="1"/>
  <c r="B114" i="1" l="1"/>
  <c r="C114" i="1"/>
  <c r="D114" i="1" s="1"/>
  <c r="A114" i="1"/>
  <c r="F114" i="1" l="1"/>
  <c r="E114" i="1" s="1"/>
  <c r="G114" i="1" l="1"/>
  <c r="C115" i="1" l="1"/>
  <c r="B115" i="1"/>
  <c r="A115" i="1"/>
  <c r="D115" i="1" l="1"/>
  <c r="F115" i="1" s="1"/>
  <c r="E115" i="1" s="1"/>
  <c r="G115" i="1" l="1"/>
  <c r="C116" i="1" l="1"/>
  <c r="A116" i="1"/>
  <c r="B116" i="1"/>
  <c r="D116" i="1" l="1"/>
  <c r="F116" i="1" s="1"/>
  <c r="E116" i="1" s="1"/>
  <c r="G116" i="1" l="1"/>
  <c r="C117" i="1" l="1"/>
  <c r="B117" i="1"/>
  <c r="A117" i="1"/>
  <c r="D117" i="1" l="1"/>
  <c r="F117" i="1" s="1"/>
  <c r="E117" i="1" s="1"/>
  <c r="G117" i="1" l="1"/>
  <c r="B118" i="1" l="1"/>
  <c r="C118" i="1"/>
  <c r="D118" i="1" s="1"/>
  <c r="A118" i="1"/>
  <c r="F118" i="1" l="1"/>
  <c r="E118" i="1" l="1"/>
  <c r="G118" i="1"/>
  <c r="B119" i="1" l="1"/>
  <c r="C119" i="1"/>
  <c r="A119" i="1"/>
  <c r="D119" i="1" l="1"/>
  <c r="F119" i="1" l="1"/>
  <c r="E119" i="1" s="1"/>
  <c r="G119" i="1" l="1"/>
  <c r="B120" i="1" l="1"/>
  <c r="C120" i="1"/>
  <c r="D120" i="1" s="1"/>
  <c r="F120" i="1" s="1"/>
  <c r="E120" i="1" s="1"/>
  <c r="A120" i="1"/>
  <c r="G120" i="1" l="1"/>
  <c r="A121" i="1" s="1"/>
  <c r="B121" i="1" l="1"/>
  <c r="C121" i="1"/>
  <c r="D121" i="1" s="1"/>
  <c r="F121" i="1" s="1"/>
  <c r="E121" i="1" s="1"/>
  <c r="G121" i="1" l="1"/>
  <c r="B122" i="1" s="1"/>
  <c r="A122" i="1" l="1"/>
  <c r="C122" i="1"/>
  <c r="D122" i="1"/>
  <c r="F122" i="1" s="1"/>
  <c r="E122" i="1" s="1"/>
  <c r="G122" i="1" l="1"/>
  <c r="B123" i="1" s="1"/>
  <c r="C123" i="1" l="1"/>
  <c r="D123" i="1" s="1"/>
  <c r="F123" i="1" s="1"/>
  <c r="E123" i="1" s="1"/>
  <c r="A123" i="1"/>
  <c r="G123" i="1" l="1"/>
  <c r="B124" i="1"/>
  <c r="C124" i="1"/>
  <c r="A124" i="1"/>
  <c r="D124" i="1" l="1"/>
  <c r="F124" i="1" s="1"/>
  <c r="E124" i="1" s="1"/>
  <c r="G124" i="1" l="1"/>
  <c r="C125" i="1" l="1"/>
  <c r="D125" i="1" s="1"/>
  <c r="B125" i="1"/>
  <c r="A125" i="1"/>
  <c r="F125" i="1" l="1"/>
  <c r="E125" i="1" s="1"/>
  <c r="G125" i="1" l="1"/>
  <c r="A126" i="1" s="1"/>
  <c r="C126" i="1" l="1"/>
  <c r="D126" i="1" s="1"/>
  <c r="F126" i="1" s="1"/>
  <c r="E126" i="1" s="1"/>
  <c r="B126" i="1"/>
  <c r="G126" i="1" l="1"/>
  <c r="A127" i="1" s="1"/>
  <c r="B127" i="1" l="1"/>
  <c r="C127" i="1"/>
  <c r="D127" i="1" s="1"/>
  <c r="F127" i="1" s="1"/>
  <c r="E127" i="1" s="1"/>
  <c r="G127" i="1" l="1"/>
  <c r="C128" i="1" s="1"/>
  <c r="D128" i="1" l="1"/>
  <c r="F128" i="1" s="1"/>
  <c r="E128" i="1" s="1"/>
  <c r="A128" i="1"/>
  <c r="B128" i="1"/>
  <c r="G128" i="1"/>
  <c r="A129" i="1" s="1"/>
  <c r="C129" i="1" l="1"/>
  <c r="D129" i="1" s="1"/>
  <c r="F129" i="1" s="1"/>
  <c r="B129" i="1"/>
  <c r="E129" i="1" l="1"/>
  <c r="G129" i="1"/>
  <c r="B130" i="1" s="1"/>
  <c r="C130" i="1" l="1"/>
  <c r="D130" i="1" s="1"/>
  <c r="F130" i="1" s="1"/>
  <c r="E130" i="1" s="1"/>
  <c r="A130" i="1"/>
  <c r="G130" i="1"/>
  <c r="A131" i="1" s="1"/>
  <c r="B131" i="1" l="1"/>
  <c r="C131" i="1"/>
  <c r="D131" i="1" s="1"/>
  <c r="F131" i="1" s="1"/>
  <c r="E131" i="1" s="1"/>
  <c r="G131" i="1" l="1"/>
  <c r="C132" i="1" l="1"/>
  <c r="D132" i="1" s="1"/>
  <c r="B132" i="1"/>
  <c r="A132" i="1"/>
  <c r="F132" i="1" l="1"/>
  <c r="E132" i="1" s="1"/>
  <c r="G132" i="1" l="1"/>
  <c r="B133" i="1" s="1"/>
  <c r="A133" i="1" l="1"/>
  <c r="C133" i="1"/>
  <c r="D133" i="1" s="1"/>
  <c r="F133" i="1" l="1"/>
  <c r="E133" i="1" s="1"/>
  <c r="G133" i="1" l="1"/>
  <c r="C134" i="1" l="1"/>
  <c r="B134" i="1"/>
  <c r="A134" i="1"/>
  <c r="D134" i="1" l="1"/>
  <c r="F134" i="1" s="1"/>
  <c r="E134" i="1" s="1"/>
  <c r="G134" i="1" l="1"/>
  <c r="B135" i="1" l="1"/>
  <c r="A135" i="1"/>
  <c r="C135" i="1"/>
  <c r="D135" i="1" l="1"/>
  <c r="F135" i="1" s="1"/>
  <c r="E135" i="1" s="1"/>
  <c r="G135" i="1" l="1"/>
  <c r="C136" i="1" s="1"/>
  <c r="D136" i="1" s="1"/>
  <c r="A136" i="1" l="1"/>
  <c r="B136" i="1"/>
  <c r="F136" i="1"/>
  <c r="E136" i="1" s="1"/>
  <c r="G136" i="1" l="1"/>
  <c r="A137" i="1" s="1"/>
  <c r="C137" i="1" l="1"/>
  <c r="D137" i="1" s="1"/>
  <c r="F137" i="1" s="1"/>
  <c r="E137" i="1" s="1"/>
  <c r="B137" i="1"/>
  <c r="G137" i="1" l="1"/>
  <c r="B138" i="1" l="1"/>
  <c r="C138" i="1"/>
  <c r="A138" i="1"/>
  <c r="D138" i="1" l="1"/>
  <c r="F138" i="1" s="1"/>
  <c r="E138" i="1" s="1"/>
  <c r="G138" i="1" l="1"/>
  <c r="C139" i="1" l="1"/>
  <c r="D139" i="1" s="1"/>
  <c r="F139" i="1" s="1"/>
  <c r="E139" i="1" s="1"/>
  <c r="A139" i="1"/>
  <c r="B139" i="1"/>
  <c r="G139" i="1" l="1"/>
  <c r="C140" i="1" l="1"/>
  <c r="D140" i="1" s="1"/>
  <c r="B140" i="1"/>
  <c r="A140" i="1"/>
  <c r="F140" i="1" l="1"/>
  <c r="E140" i="1" s="1"/>
  <c r="G140" i="1" l="1"/>
  <c r="C141" i="1" l="1"/>
  <c r="A141" i="1"/>
  <c r="B141" i="1"/>
  <c r="D141" i="1" l="1"/>
  <c r="F141" i="1" l="1"/>
  <c r="E141" i="1" s="1"/>
  <c r="G141" i="1" l="1"/>
  <c r="C142" i="1" l="1"/>
  <c r="B142" i="1"/>
  <c r="A142" i="1"/>
  <c r="D142" i="1" l="1"/>
  <c r="F142" i="1" s="1"/>
  <c r="E142" i="1" s="1"/>
  <c r="G142" i="1" l="1"/>
  <c r="B143" i="1" l="1"/>
  <c r="A143" i="1"/>
  <c r="C143" i="1"/>
  <c r="D143" i="1" s="1"/>
  <c r="F143" i="1" l="1"/>
  <c r="E143" i="1" s="1"/>
  <c r="G143" i="1" l="1"/>
  <c r="B144" i="1" l="1"/>
  <c r="C144" i="1"/>
  <c r="A144" i="1"/>
  <c r="D144" i="1" l="1"/>
  <c r="F144" i="1" s="1"/>
  <c r="E144" i="1" s="1"/>
  <c r="G144" i="1" l="1"/>
  <c r="A145" i="1" s="1"/>
  <c r="B145" i="1"/>
  <c r="C145" i="1"/>
  <c r="D145" i="1" l="1"/>
  <c r="F145" i="1" s="1"/>
  <c r="E145" i="1" s="1"/>
  <c r="G145" i="1" l="1"/>
  <c r="B146" i="1" l="1"/>
  <c r="A146" i="1"/>
  <c r="C146" i="1"/>
  <c r="D146" i="1" s="1"/>
  <c r="F146" i="1" s="1"/>
  <c r="E146" i="1" s="1"/>
  <c r="G146" i="1" l="1"/>
  <c r="C147" i="1" l="1"/>
  <c r="D147" i="1" s="1"/>
  <c r="F147" i="1" s="1"/>
  <c r="E147" i="1" s="1"/>
  <c r="B147" i="1"/>
  <c r="A147" i="1"/>
  <c r="G147" i="1" l="1"/>
  <c r="C148" i="1" l="1"/>
  <c r="D148" i="1" s="1"/>
  <c r="B148" i="1"/>
  <c r="A148" i="1"/>
  <c r="F148" i="1" l="1"/>
  <c r="E148" i="1" s="1"/>
  <c r="G148" i="1" l="1"/>
  <c r="B149" i="1" s="1"/>
  <c r="C149" i="1" l="1"/>
  <c r="D149" i="1" s="1"/>
  <c r="F149" i="1" s="1"/>
  <c r="E149" i="1" s="1"/>
  <c r="A149" i="1"/>
  <c r="G149" i="1" l="1"/>
  <c r="C150" i="1" s="1"/>
  <c r="B150" i="1" l="1"/>
  <c r="A150" i="1"/>
  <c r="D150" i="1"/>
  <c r="F150" i="1" l="1"/>
  <c r="E150" i="1" s="1"/>
  <c r="G150" i="1" l="1"/>
  <c r="C151" i="1" l="1"/>
  <c r="D151" i="1" s="1"/>
  <c r="B151" i="1"/>
  <c r="A151" i="1"/>
  <c r="F151" i="1" l="1"/>
  <c r="E151" i="1" s="1"/>
  <c r="G151" i="1" l="1"/>
  <c r="C152" i="1" l="1"/>
  <c r="D152" i="1" s="1"/>
  <c r="B152" i="1"/>
  <c r="A152" i="1"/>
  <c r="F152" i="1" l="1"/>
  <c r="E152" i="1" s="1"/>
  <c r="G152" i="1" l="1"/>
  <c r="A153" i="1" l="1"/>
  <c r="C153" i="1"/>
  <c r="B153" i="1"/>
  <c r="D153" i="1" l="1"/>
  <c r="F153" i="1" s="1"/>
  <c r="E153" i="1" s="1"/>
  <c r="G153" i="1" l="1"/>
  <c r="A154" i="1" l="1"/>
  <c r="C154" i="1"/>
  <c r="B154" i="1"/>
  <c r="D154" i="1"/>
  <c r="F154" i="1" l="1"/>
  <c r="E154" i="1" s="1"/>
  <c r="G154" i="1" l="1"/>
  <c r="C155" i="1" l="1"/>
  <c r="B155" i="1"/>
  <c r="A155" i="1"/>
  <c r="D155" i="1"/>
  <c r="F155" i="1" l="1"/>
  <c r="E155" i="1" s="1"/>
  <c r="G155" i="1" l="1"/>
  <c r="B156" i="1" l="1"/>
  <c r="A156" i="1"/>
  <c r="C156" i="1"/>
  <c r="D156" i="1" l="1"/>
  <c r="F156" i="1" s="1"/>
  <c r="E156" i="1" s="1"/>
  <c r="G156" i="1" l="1"/>
  <c r="B157" i="1" l="1"/>
  <c r="A157" i="1"/>
  <c r="C157" i="1"/>
  <c r="D157" i="1" l="1"/>
  <c r="F157" i="1" s="1"/>
  <c r="E157" i="1" s="1"/>
  <c r="G157" i="1" l="1"/>
  <c r="C158" i="1" s="1"/>
  <c r="D158" i="1" l="1"/>
  <c r="F158" i="1" s="1"/>
  <c r="E158" i="1" s="1"/>
  <c r="B158" i="1"/>
  <c r="A158" i="1"/>
  <c r="G158" i="1"/>
  <c r="C159" i="1" s="1"/>
  <c r="B159" i="1" l="1"/>
  <c r="A159" i="1"/>
  <c r="D159" i="1"/>
  <c r="F159" i="1" s="1"/>
  <c r="E159" i="1" s="1"/>
  <c r="G159" i="1" l="1"/>
  <c r="C160" i="1" s="1"/>
  <c r="A160" i="1" l="1"/>
  <c r="B160" i="1"/>
  <c r="D160" i="1"/>
  <c r="F160" i="1" l="1"/>
  <c r="E160" i="1" s="1"/>
  <c r="G160" i="1" l="1"/>
  <c r="A161" i="1" l="1"/>
  <c r="C161" i="1"/>
  <c r="D161" i="1" s="1"/>
  <c r="F161" i="1" s="1"/>
  <c r="E161" i="1" s="1"/>
  <c r="B161" i="1"/>
  <c r="G161" i="1" l="1"/>
  <c r="B162" i="1" l="1"/>
  <c r="A162" i="1"/>
  <c r="C162" i="1"/>
  <c r="D162" i="1" l="1"/>
  <c r="F162" i="1" s="1"/>
  <c r="E162" i="1" s="1"/>
  <c r="G162" i="1" l="1"/>
  <c r="C163" i="1" s="1"/>
  <c r="D163" i="1" l="1"/>
  <c r="F163" i="1" s="1"/>
  <c r="G163" i="1" s="1"/>
  <c r="A164" i="1" s="1"/>
  <c r="A163" i="1"/>
  <c r="B163" i="1"/>
  <c r="B164" i="1" l="1"/>
  <c r="C164" i="1"/>
  <c r="D164" i="1" s="1"/>
  <c r="E163" i="1"/>
  <c r="F164" i="1" l="1"/>
  <c r="E164" i="1" s="1"/>
  <c r="G164" i="1" l="1"/>
  <c r="C165" i="1" s="1"/>
  <c r="D165" i="1" s="1"/>
  <c r="A165" i="1" l="1"/>
  <c r="B165" i="1"/>
  <c r="F165" i="1"/>
  <c r="E165" i="1" s="1"/>
  <c r="G165" i="1" l="1"/>
  <c r="C166" i="1" l="1"/>
  <c r="B166" i="1"/>
  <c r="A166" i="1"/>
  <c r="D166" i="1" l="1"/>
  <c r="F166" i="1" l="1"/>
  <c r="E166" i="1" s="1"/>
  <c r="G166" i="1" l="1"/>
  <c r="C167" i="1" l="1"/>
  <c r="B167" i="1"/>
  <c r="A167" i="1"/>
  <c r="D167" i="1" l="1"/>
  <c r="F167" i="1" l="1"/>
  <c r="E167" i="1" s="1"/>
  <c r="G167" i="1" l="1"/>
  <c r="C168" i="1" l="1"/>
  <c r="D168" i="1" s="1"/>
  <c r="B168" i="1"/>
  <c r="A168" i="1"/>
  <c r="F168" i="1" l="1"/>
  <c r="E168" i="1" s="1"/>
  <c r="G168" i="1" l="1"/>
  <c r="A169" i="1" s="1"/>
  <c r="B169" i="1" l="1"/>
  <c r="C169" i="1"/>
  <c r="D169" i="1" s="1"/>
  <c r="F169" i="1" l="1"/>
  <c r="E169" i="1" s="1"/>
  <c r="G169" i="1"/>
  <c r="B170" i="1" l="1"/>
  <c r="A170" i="1"/>
  <c r="C170" i="1"/>
  <c r="D170" i="1" l="1"/>
  <c r="F170" i="1" s="1"/>
  <c r="E170" i="1" s="1"/>
  <c r="G170" i="1" l="1"/>
  <c r="C171" i="1" s="1"/>
  <c r="D171" i="1" s="1"/>
  <c r="A171" i="1" l="1"/>
  <c r="B171" i="1"/>
  <c r="F171" i="1"/>
  <c r="E171" i="1" s="1"/>
  <c r="G171" i="1" l="1"/>
  <c r="C172" i="1" l="1"/>
  <c r="D172" i="1" s="1"/>
  <c r="B172" i="1"/>
  <c r="A172" i="1"/>
  <c r="F172" i="1" l="1"/>
  <c r="E172" i="1" s="1"/>
  <c r="G172" i="1" l="1"/>
  <c r="C173" i="1" l="1"/>
  <c r="D173" i="1" s="1"/>
  <c r="B173" i="1"/>
  <c r="A173" i="1"/>
  <c r="F173" i="1" l="1"/>
  <c r="E173" i="1" s="1"/>
  <c r="G173" i="1" l="1"/>
  <c r="C174" i="1" s="1"/>
  <c r="A174" i="1" l="1"/>
  <c r="B174" i="1"/>
  <c r="D174" i="1"/>
  <c r="F174" i="1" l="1"/>
  <c r="E174" i="1" s="1"/>
  <c r="G174" i="1" l="1"/>
  <c r="C175" i="1" l="1"/>
  <c r="B175" i="1"/>
  <c r="A175" i="1"/>
  <c r="D175" i="1" l="1"/>
  <c r="F175" i="1" s="1"/>
  <c r="E175" i="1" s="1"/>
  <c r="G175" i="1" l="1"/>
  <c r="C176" i="1" s="1"/>
  <c r="B176" i="1" l="1"/>
  <c r="A176" i="1"/>
  <c r="D176" i="1"/>
  <c r="F176" i="1" s="1"/>
  <c r="E176" i="1" s="1"/>
  <c r="G176" i="1" l="1"/>
  <c r="A177" i="1" s="1"/>
  <c r="B177" i="1" l="1"/>
  <c r="C177" i="1"/>
  <c r="D177" i="1" s="1"/>
  <c r="F177" i="1" l="1"/>
  <c r="E177" i="1" s="1"/>
  <c r="G177" i="1" l="1"/>
  <c r="C178" i="1" s="1"/>
  <c r="D178" i="1" l="1"/>
  <c r="B178" i="1"/>
  <c r="A178" i="1"/>
  <c r="F178" i="1"/>
  <c r="E178" i="1" s="1"/>
  <c r="G178" i="1" l="1"/>
  <c r="C179" i="1" l="1"/>
  <c r="B179" i="1"/>
  <c r="A179" i="1"/>
  <c r="D179" i="1"/>
  <c r="F179" i="1" l="1"/>
  <c r="E179" i="1" s="1"/>
  <c r="G179" i="1" l="1"/>
  <c r="C180" i="1" l="1"/>
  <c r="D180" i="1" s="1"/>
  <c r="B180" i="1"/>
  <c r="A180" i="1"/>
  <c r="F180" i="1" l="1"/>
  <c r="E180" i="1" s="1"/>
  <c r="G180" i="1" l="1"/>
  <c r="C181" i="1" l="1"/>
  <c r="D181" i="1" s="1"/>
  <c r="B181" i="1"/>
  <c r="A181" i="1"/>
  <c r="F181" i="1" l="1"/>
  <c r="E181" i="1" s="1"/>
  <c r="G181" i="1" l="1"/>
  <c r="C182" i="1" l="1"/>
  <c r="B182" i="1"/>
  <c r="A182" i="1"/>
  <c r="D182" i="1" l="1"/>
  <c r="F182" i="1" l="1"/>
  <c r="E182" i="1" s="1"/>
  <c r="G182" i="1" l="1"/>
  <c r="C183" i="1" l="1"/>
  <c r="B183" i="1"/>
  <c r="A183" i="1"/>
  <c r="D183" i="1" l="1"/>
  <c r="F183" i="1" s="1"/>
  <c r="E183" i="1" s="1"/>
  <c r="G183" i="1" l="1"/>
  <c r="A184" i="1" s="1"/>
  <c r="B184" i="1" l="1"/>
  <c r="C184" i="1"/>
  <c r="D184" i="1" s="1"/>
  <c r="F184" i="1" s="1"/>
  <c r="E184" i="1" s="1"/>
  <c r="G184" i="1" l="1"/>
  <c r="A185" i="1" s="1"/>
  <c r="C185" i="1" l="1"/>
  <c r="B185" i="1"/>
  <c r="D185" i="1"/>
  <c r="F185" i="1" l="1"/>
  <c r="E185" i="1" s="1"/>
  <c r="G185" i="1" l="1"/>
  <c r="B186" i="1" s="1"/>
  <c r="A186" i="1" l="1"/>
  <c r="C186" i="1"/>
  <c r="D186" i="1" s="1"/>
  <c r="F186" i="1" l="1"/>
  <c r="E186" i="1" s="1"/>
  <c r="G186" i="1" l="1"/>
  <c r="C187" i="1" s="1"/>
  <c r="D187" i="1" s="1"/>
  <c r="A187" i="1" l="1"/>
  <c r="B187" i="1"/>
  <c r="F187" i="1"/>
  <c r="E187" i="1" s="1"/>
  <c r="G187" i="1" l="1"/>
  <c r="C188" i="1" l="1"/>
  <c r="D188" i="1" s="1"/>
  <c r="B188" i="1"/>
  <c r="A188" i="1"/>
  <c r="F188" i="1" l="1"/>
  <c r="E188" i="1" s="1"/>
  <c r="G188" i="1" l="1"/>
  <c r="C189" i="1" l="1"/>
  <c r="B189" i="1"/>
  <c r="A189" i="1"/>
  <c r="D189" i="1" l="1"/>
  <c r="F189" i="1" l="1"/>
  <c r="E189" i="1" s="1"/>
  <c r="G189" i="1" l="1"/>
  <c r="C190" i="1" l="1"/>
  <c r="B190" i="1"/>
  <c r="A190" i="1"/>
  <c r="D190" i="1" l="1"/>
  <c r="F190" i="1" l="1"/>
  <c r="E190" i="1" s="1"/>
  <c r="G190" i="1" l="1"/>
  <c r="C191" i="1" l="1"/>
  <c r="B191" i="1"/>
  <c r="A191" i="1"/>
  <c r="D191" i="1" l="1"/>
  <c r="F191" i="1" s="1"/>
  <c r="E191" i="1" s="1"/>
  <c r="G191" i="1" l="1"/>
  <c r="C192" i="1" s="1"/>
  <c r="A192" i="1" l="1"/>
  <c r="B192" i="1"/>
  <c r="D192" i="1"/>
  <c r="F192" i="1" s="1"/>
  <c r="E192" i="1" s="1"/>
  <c r="G192" i="1" l="1"/>
  <c r="A193" i="1" s="1"/>
  <c r="C193" i="1" l="1"/>
  <c r="B193" i="1"/>
  <c r="D193" i="1"/>
  <c r="F193" i="1" s="1"/>
  <c r="E193" i="1" s="1"/>
  <c r="G193" i="1" l="1"/>
  <c r="B194" i="1" s="1"/>
  <c r="A194" i="1" l="1"/>
  <c r="C194" i="1"/>
  <c r="D194" i="1" s="1"/>
  <c r="F194" i="1" l="1"/>
  <c r="E194" i="1" s="1"/>
  <c r="G194" i="1" l="1"/>
  <c r="C195" i="1" l="1"/>
  <c r="D195" i="1" s="1"/>
  <c r="F195" i="1" s="1"/>
  <c r="E195" i="1" s="1"/>
  <c r="B195" i="1"/>
  <c r="A195" i="1"/>
  <c r="G195" i="1" l="1"/>
  <c r="C196" i="1" s="1"/>
  <c r="D196" i="1" s="1"/>
  <c r="A196" i="1" l="1"/>
  <c r="B196" i="1"/>
  <c r="F196" i="1"/>
  <c r="E196" i="1" s="1"/>
  <c r="G196" i="1" l="1"/>
  <c r="C197" i="1" l="1"/>
  <c r="D197" i="1" s="1"/>
  <c r="B197" i="1"/>
  <c r="A197" i="1"/>
  <c r="F197" i="1" l="1"/>
  <c r="E197" i="1" s="1"/>
  <c r="G197" i="1" l="1"/>
  <c r="C198" i="1" l="1"/>
  <c r="B198" i="1"/>
  <c r="A198" i="1"/>
  <c r="D198" i="1" l="1"/>
  <c r="F198" i="1" s="1"/>
  <c r="E198" i="1" s="1"/>
  <c r="G198" i="1" l="1"/>
  <c r="C199" i="1" l="1"/>
  <c r="B199" i="1"/>
  <c r="A199" i="1"/>
  <c r="D199" i="1" l="1"/>
  <c r="F199" i="1" l="1"/>
  <c r="E199" i="1" s="1"/>
  <c r="G199" i="1" l="1"/>
  <c r="C200" i="1" l="1"/>
  <c r="B200" i="1"/>
  <c r="A200" i="1"/>
  <c r="D200" i="1" l="1"/>
  <c r="F200" i="1" s="1"/>
  <c r="E200" i="1" s="1"/>
  <c r="G200" i="1" l="1"/>
  <c r="A201" i="1" s="1"/>
  <c r="B201" i="1" l="1"/>
  <c r="C201" i="1"/>
  <c r="D201" i="1" s="1"/>
  <c r="F201" i="1" l="1"/>
  <c r="E201" i="1" s="1"/>
  <c r="G201" i="1" l="1"/>
  <c r="B202" i="1" l="1"/>
  <c r="A202" i="1"/>
  <c r="C202" i="1"/>
  <c r="D202" i="1" l="1"/>
  <c r="F202" i="1" l="1"/>
  <c r="E202" i="1" s="1"/>
  <c r="G202" i="1" l="1"/>
  <c r="C203" i="1" l="1"/>
  <c r="D203" i="1" s="1"/>
  <c r="B203" i="1"/>
  <c r="A203" i="1"/>
  <c r="F203" i="1" l="1"/>
  <c r="E203" i="1" s="1"/>
  <c r="G203" i="1" l="1"/>
  <c r="C204" i="1" l="1"/>
  <c r="D204" i="1" s="1"/>
  <c r="B204" i="1"/>
  <c r="A204" i="1"/>
  <c r="F204" i="1" l="1"/>
  <c r="E204" i="1" s="1"/>
  <c r="G204" i="1" l="1"/>
  <c r="C205" i="1" l="1"/>
  <c r="B205" i="1"/>
  <c r="A205" i="1"/>
  <c r="D205" i="1" l="1"/>
  <c r="F205" i="1" l="1"/>
  <c r="E205" i="1" s="1"/>
  <c r="G205" i="1" l="1"/>
  <c r="C206" i="1" l="1"/>
  <c r="B206" i="1"/>
  <c r="A206" i="1"/>
  <c r="D206" i="1" l="1"/>
  <c r="F206" i="1" l="1"/>
  <c r="E206" i="1" s="1"/>
  <c r="G206" i="1" l="1"/>
  <c r="C207" i="1" l="1"/>
  <c r="B207" i="1"/>
  <c r="A207" i="1"/>
  <c r="D207" i="1" l="1"/>
  <c r="F207" i="1" s="1"/>
  <c r="E207" i="1" s="1"/>
  <c r="G207" i="1" l="1"/>
  <c r="C208" i="1" s="1"/>
  <c r="A208" i="1" l="1"/>
  <c r="B208" i="1"/>
  <c r="D208" i="1"/>
  <c r="F208" i="1" s="1"/>
  <c r="E208" i="1" s="1"/>
  <c r="G208" i="1" l="1"/>
  <c r="A209" i="1" s="1"/>
  <c r="C209" i="1" l="1"/>
  <c r="D209" i="1" s="1"/>
  <c r="F209" i="1" s="1"/>
  <c r="E209" i="1" s="1"/>
  <c r="B209" i="1"/>
  <c r="G209" i="1" l="1"/>
  <c r="B210" i="1" l="1"/>
  <c r="A210" i="1"/>
  <c r="C210" i="1"/>
  <c r="D210" i="1" l="1"/>
  <c r="F210" i="1" l="1"/>
  <c r="E210" i="1" s="1"/>
  <c r="G210" i="1" l="1"/>
  <c r="C211" i="1" l="1"/>
  <c r="D211" i="1" s="1"/>
  <c r="B211" i="1"/>
  <c r="A211" i="1"/>
  <c r="F211" i="1" l="1"/>
  <c r="E211" i="1" s="1"/>
  <c r="G211" i="1" l="1"/>
  <c r="C212" i="1" l="1"/>
  <c r="D212" i="1" s="1"/>
  <c r="B212" i="1"/>
  <c r="A212" i="1"/>
  <c r="F212" i="1" l="1"/>
  <c r="E212" i="1" s="1"/>
  <c r="G212" i="1" l="1"/>
  <c r="C213" i="1" l="1"/>
  <c r="D213" i="1" s="1"/>
  <c r="B213" i="1"/>
  <c r="A213" i="1"/>
  <c r="F213" i="1" l="1"/>
  <c r="E213" i="1" s="1"/>
  <c r="G213" i="1" l="1"/>
  <c r="C214" i="1" l="1"/>
  <c r="B214" i="1"/>
  <c r="A214" i="1"/>
  <c r="D214" i="1" l="1"/>
  <c r="F214" i="1" s="1"/>
  <c r="E214" i="1" l="1"/>
  <c r="G214" i="1"/>
  <c r="C215" i="1" l="1"/>
  <c r="B215" i="1"/>
  <c r="A215" i="1"/>
  <c r="D215" i="1" l="1"/>
  <c r="F215" i="1" l="1"/>
  <c r="E215" i="1" s="1"/>
  <c r="G215" i="1" l="1"/>
  <c r="C216" i="1" l="1"/>
  <c r="D216" i="1" s="1"/>
  <c r="B216" i="1"/>
  <c r="A216" i="1"/>
  <c r="F216" i="1" l="1"/>
  <c r="E216" i="1" s="1"/>
  <c r="G216" i="1" l="1"/>
  <c r="A217" i="1" l="1"/>
  <c r="C217" i="1"/>
  <c r="B217" i="1"/>
  <c r="D217" i="1" l="1"/>
  <c r="F217" i="1" s="1"/>
  <c r="E217" i="1" s="1"/>
  <c r="G217" i="1" l="1"/>
  <c r="C218" i="1" s="1"/>
  <c r="D218" i="1" s="1"/>
  <c r="A218" i="1" l="1"/>
  <c r="B218" i="1"/>
  <c r="F218" i="1"/>
  <c r="E218" i="1" s="1"/>
  <c r="G218" i="1" l="1"/>
  <c r="C219" i="1" l="1"/>
  <c r="D219" i="1" s="1"/>
  <c r="B219" i="1"/>
  <c r="A219" i="1"/>
  <c r="F219" i="1" l="1"/>
  <c r="E219" i="1" s="1"/>
  <c r="G219" i="1" l="1"/>
  <c r="C220" i="1" l="1"/>
  <c r="D220" i="1" s="1"/>
  <c r="B220" i="1"/>
  <c r="A220" i="1"/>
  <c r="F220" i="1" l="1"/>
  <c r="E220" i="1" s="1"/>
  <c r="G220" i="1" l="1"/>
  <c r="C221" i="1" l="1"/>
  <c r="D221" i="1" s="1"/>
  <c r="B221" i="1"/>
  <c r="A221" i="1"/>
  <c r="F221" i="1" l="1"/>
  <c r="E221" i="1" s="1"/>
  <c r="G221" i="1" l="1"/>
  <c r="C222" i="1" s="1"/>
  <c r="A222" i="1" l="1"/>
  <c r="B222" i="1"/>
  <c r="D222" i="1"/>
  <c r="F222" i="1" l="1"/>
  <c r="E222" i="1" s="1"/>
  <c r="G222" i="1" l="1"/>
  <c r="C223" i="1" l="1"/>
  <c r="B223" i="1"/>
  <c r="A223" i="1"/>
  <c r="D223" i="1" l="1"/>
  <c r="F223" i="1" l="1"/>
  <c r="E223" i="1" s="1"/>
  <c r="G223" i="1" l="1"/>
  <c r="C224" i="1" l="1"/>
  <c r="B224" i="1"/>
  <c r="A224" i="1"/>
  <c r="D224" i="1" l="1"/>
  <c r="F224" i="1" s="1"/>
  <c r="E224" i="1" s="1"/>
  <c r="G224" i="1" l="1"/>
  <c r="C225" i="1" s="1"/>
  <c r="B225" i="1" l="1"/>
  <c r="A225" i="1"/>
  <c r="D225" i="1"/>
  <c r="F225" i="1" s="1"/>
  <c r="E225" i="1" s="1"/>
  <c r="G225" i="1" l="1"/>
  <c r="B226" i="1" l="1"/>
  <c r="A226" i="1"/>
  <c r="C226" i="1"/>
  <c r="D226" i="1" l="1"/>
  <c r="F226" i="1" s="1"/>
  <c r="E226" i="1" s="1"/>
  <c r="G226" i="1" l="1"/>
  <c r="B227" i="1" s="1"/>
  <c r="C227" i="1" l="1"/>
  <c r="D227" i="1" s="1"/>
  <c r="A227" i="1"/>
  <c r="F227" i="1" l="1"/>
  <c r="E227" i="1" s="1"/>
  <c r="G227" i="1" l="1"/>
  <c r="C228" i="1" s="1"/>
  <c r="D228" i="1" s="1"/>
  <c r="A228" i="1" l="1"/>
  <c r="B228" i="1"/>
  <c r="F228" i="1"/>
  <c r="E228" i="1" s="1"/>
  <c r="G228" i="1" l="1"/>
  <c r="C229" i="1" l="1"/>
  <c r="D229" i="1" s="1"/>
  <c r="A229" i="1"/>
  <c r="B229" i="1"/>
  <c r="F229" i="1" l="1"/>
  <c r="E229" i="1" s="1"/>
  <c r="G229" i="1" l="1"/>
  <c r="C230" i="1" l="1"/>
  <c r="B230" i="1"/>
  <c r="A230" i="1"/>
  <c r="D230" i="1" l="1"/>
  <c r="F230" i="1" s="1"/>
  <c r="E230" i="1" s="1"/>
  <c r="G230" i="1" l="1"/>
  <c r="A231" i="1" l="1"/>
  <c r="C231" i="1"/>
  <c r="B231" i="1"/>
  <c r="D231" i="1" l="1"/>
  <c r="F231" i="1" s="1"/>
  <c r="E231" i="1" s="1"/>
  <c r="G231" i="1" l="1"/>
  <c r="B232" i="1" s="1"/>
  <c r="C232" i="1" l="1"/>
  <c r="D232" i="1" s="1"/>
  <c r="F232" i="1" s="1"/>
  <c r="E232" i="1" s="1"/>
  <c r="A232" i="1"/>
  <c r="G232" i="1" l="1"/>
  <c r="A233" i="1" l="1"/>
  <c r="C233" i="1"/>
  <c r="B233" i="1"/>
  <c r="D233" i="1" l="1"/>
  <c r="F233" i="1" l="1"/>
  <c r="E233" i="1" s="1"/>
  <c r="G233" i="1" l="1"/>
  <c r="B234" i="1" l="1"/>
  <c r="A234" i="1"/>
  <c r="C234" i="1"/>
  <c r="D234" i="1" s="1"/>
  <c r="F234" i="1" l="1"/>
  <c r="E234" i="1" s="1"/>
  <c r="G234" i="1" l="1"/>
  <c r="C235" i="1" l="1"/>
  <c r="D235" i="1" s="1"/>
  <c r="B235" i="1"/>
  <c r="A235" i="1"/>
  <c r="F235" i="1" l="1"/>
  <c r="E235" i="1" s="1"/>
  <c r="G235" i="1" l="1"/>
  <c r="C236" i="1" l="1"/>
  <c r="D236" i="1" s="1"/>
  <c r="B236" i="1"/>
  <c r="A236" i="1"/>
  <c r="F236" i="1" l="1"/>
  <c r="E236" i="1" s="1"/>
  <c r="G236" i="1" l="1"/>
  <c r="C237" i="1" l="1"/>
  <c r="D237" i="1" s="1"/>
  <c r="B237" i="1"/>
  <c r="A237" i="1"/>
  <c r="F237" i="1" l="1"/>
  <c r="E237" i="1" s="1"/>
  <c r="G237" i="1" l="1"/>
  <c r="B238" i="1" l="1"/>
  <c r="A238" i="1"/>
  <c r="C238" i="1"/>
  <c r="D238" i="1" l="1"/>
  <c r="F238" i="1" s="1"/>
  <c r="E238" i="1" s="1"/>
  <c r="G238" i="1" l="1"/>
  <c r="C239" i="1" l="1"/>
  <c r="D239" i="1" s="1"/>
  <c r="B239" i="1"/>
  <c r="A239" i="1"/>
  <c r="F239" i="1" l="1"/>
  <c r="E239" i="1" s="1"/>
  <c r="G239" i="1" l="1"/>
  <c r="B240" i="1" l="1"/>
  <c r="A240" i="1"/>
  <c r="C240" i="1"/>
  <c r="D240" i="1" l="1"/>
  <c r="F240" i="1" l="1"/>
  <c r="E240" i="1" s="1"/>
  <c r="G240" i="1" l="1"/>
  <c r="A241" i="1" l="1"/>
  <c r="C241" i="1"/>
  <c r="D241" i="1" s="1"/>
  <c r="F241" i="1" s="1"/>
  <c r="E241" i="1" s="1"/>
  <c r="B241" i="1"/>
  <c r="G241" i="1" l="1"/>
  <c r="B242" i="1" l="1"/>
  <c r="A242" i="1"/>
  <c r="C242" i="1"/>
  <c r="D242" i="1" l="1"/>
  <c r="F242" i="1" l="1"/>
  <c r="E242" i="1" s="1"/>
  <c r="G242" i="1" l="1"/>
  <c r="C243" i="1" l="1"/>
  <c r="B243" i="1"/>
  <c r="A243" i="1"/>
  <c r="D243" i="1" l="1"/>
  <c r="F243" i="1" s="1"/>
  <c r="E243" i="1" s="1"/>
  <c r="G243" i="1" l="1"/>
  <c r="C244" i="1" s="1"/>
  <c r="D244" i="1" s="1"/>
  <c r="A244" i="1" l="1"/>
  <c r="B244" i="1"/>
  <c r="F244" i="1"/>
  <c r="E244" i="1" s="1"/>
  <c r="G244" i="1" l="1"/>
  <c r="A245" i="1" s="1"/>
  <c r="B245" i="1" l="1"/>
  <c r="C245" i="1"/>
  <c r="D245" i="1" s="1"/>
  <c r="F245" i="1" s="1"/>
  <c r="E245" i="1" s="1"/>
  <c r="G245" i="1" l="1"/>
  <c r="C246" i="1" l="1"/>
  <c r="B246" i="1"/>
  <c r="A246" i="1"/>
  <c r="D246" i="1" l="1"/>
  <c r="F246" i="1" l="1"/>
  <c r="E246" i="1" s="1"/>
  <c r="G246" i="1" l="1"/>
  <c r="C247" i="1" l="1"/>
  <c r="B247" i="1"/>
  <c r="A247" i="1"/>
  <c r="D247" i="1" l="1"/>
  <c r="F247" i="1" l="1"/>
  <c r="E247" i="1" s="1"/>
  <c r="G247" i="1" l="1"/>
  <c r="C248" i="1" l="1"/>
  <c r="B248" i="1"/>
  <c r="A248" i="1"/>
  <c r="D248" i="1" l="1"/>
  <c r="F248" i="1" l="1"/>
  <c r="E248" i="1" s="1"/>
  <c r="G248" i="1" l="1"/>
  <c r="A249" i="1" l="1"/>
  <c r="C249" i="1"/>
  <c r="B249" i="1"/>
  <c r="D249" i="1" l="1"/>
  <c r="F249" i="1" s="1"/>
  <c r="E249" i="1" l="1"/>
  <c r="G249" i="1"/>
  <c r="C250" i="1" l="1"/>
  <c r="D250" i="1" s="1"/>
  <c r="B250" i="1"/>
  <c r="A250" i="1"/>
  <c r="F250" i="1" l="1"/>
  <c r="E250" i="1" s="1"/>
  <c r="G250" i="1" l="1"/>
  <c r="C251" i="1" l="1"/>
  <c r="B251" i="1"/>
  <c r="A251" i="1"/>
  <c r="D251" i="1" l="1"/>
  <c r="F251" i="1" l="1"/>
  <c r="E251" i="1" s="1"/>
  <c r="G251" i="1" l="1"/>
  <c r="A252" i="1" l="1"/>
  <c r="B252" i="1"/>
  <c r="C252" i="1"/>
  <c r="D252" i="1" l="1"/>
  <c r="F252" i="1" l="1"/>
  <c r="E252" i="1" s="1"/>
  <c r="G252" i="1" l="1"/>
  <c r="B253" i="1" l="1"/>
  <c r="A253" i="1"/>
  <c r="C253" i="1"/>
  <c r="D253" i="1" l="1"/>
  <c r="F253" i="1" l="1"/>
  <c r="E253" i="1" s="1"/>
  <c r="G253" i="1" l="1"/>
  <c r="C254" i="1" l="1"/>
  <c r="B254" i="1"/>
  <c r="A254" i="1"/>
  <c r="D254" i="1"/>
  <c r="F254" i="1" l="1"/>
  <c r="E254" i="1" s="1"/>
  <c r="G254" i="1" l="1"/>
  <c r="C255" i="1" l="1"/>
  <c r="D255" i="1" s="1"/>
  <c r="B255" i="1"/>
  <c r="A255" i="1"/>
  <c r="F255" i="1" l="1"/>
  <c r="E255" i="1" s="1"/>
  <c r="G255" i="1" l="1"/>
  <c r="C256" i="1" l="1"/>
  <c r="D256" i="1" s="1"/>
  <c r="B256" i="1"/>
  <c r="A256" i="1"/>
  <c r="F256" i="1" l="1"/>
  <c r="E256" i="1" s="1"/>
  <c r="G256" i="1" l="1"/>
  <c r="C257" i="1" l="1"/>
  <c r="B257" i="1"/>
  <c r="A257" i="1"/>
  <c r="D257" i="1" l="1"/>
  <c r="F257" i="1" s="1"/>
  <c r="E257" i="1" s="1"/>
  <c r="G257" i="1" l="1"/>
  <c r="C258" i="1" s="1"/>
  <c r="A258" i="1" l="1"/>
  <c r="B258" i="1"/>
  <c r="D258" i="1"/>
  <c r="F258" i="1" s="1"/>
  <c r="E258" i="1" s="1"/>
  <c r="G258" i="1" l="1"/>
  <c r="C259" i="1" s="1"/>
  <c r="D259" i="1" l="1"/>
  <c r="F259" i="1" s="1"/>
  <c r="E259" i="1" s="1"/>
  <c r="A259" i="1"/>
  <c r="B259" i="1"/>
  <c r="G259" i="1" l="1"/>
  <c r="A260" i="1" l="1"/>
  <c r="C260" i="1"/>
  <c r="B260" i="1"/>
  <c r="D260" i="1" l="1"/>
  <c r="F260" i="1" s="1"/>
  <c r="E260" i="1" s="1"/>
  <c r="G260" i="1" l="1"/>
  <c r="B261" i="1" s="1"/>
  <c r="C261" i="1" l="1"/>
  <c r="D261" i="1" s="1"/>
  <c r="F261" i="1" s="1"/>
  <c r="E261" i="1" s="1"/>
  <c r="A261" i="1"/>
  <c r="G261" i="1" l="1"/>
  <c r="C262" i="1" l="1"/>
  <c r="D262" i="1" s="1"/>
  <c r="F262" i="1" s="1"/>
  <c r="B262" i="1"/>
  <c r="A262" i="1"/>
  <c r="E262" i="1" l="1"/>
  <c r="G262" i="1"/>
  <c r="C263" i="1" l="1"/>
  <c r="D263" i="1" s="1"/>
  <c r="B263" i="1"/>
  <c r="A263" i="1"/>
  <c r="F263" i="1" l="1"/>
  <c r="E263" i="1" s="1"/>
  <c r="G263" i="1" l="1"/>
  <c r="C264" i="1" l="1"/>
  <c r="D264" i="1" s="1"/>
  <c r="B264" i="1"/>
  <c r="A264" i="1"/>
  <c r="F264" i="1" l="1"/>
  <c r="E264" i="1" s="1"/>
  <c r="G264" i="1" l="1"/>
  <c r="C265" i="1" l="1"/>
  <c r="B265" i="1"/>
  <c r="A265" i="1"/>
  <c r="D265" i="1" l="1"/>
  <c r="F265" i="1" s="1"/>
  <c r="E265" i="1" s="1"/>
  <c r="G265" i="1" l="1"/>
  <c r="C266" i="1" l="1"/>
  <c r="B266" i="1"/>
  <c r="A266" i="1"/>
  <c r="D266" i="1" l="1"/>
  <c r="F266" i="1" s="1"/>
  <c r="E266" i="1" s="1"/>
  <c r="G266" i="1" l="1"/>
  <c r="A267" i="1" s="1"/>
  <c r="B267" i="1" l="1"/>
  <c r="C267" i="1"/>
  <c r="D267" i="1" s="1"/>
  <c r="F267" i="1" s="1"/>
  <c r="E267" i="1" s="1"/>
  <c r="G267" i="1" l="1"/>
  <c r="A268" i="1" s="1"/>
  <c r="B268" i="1" l="1"/>
  <c r="C268" i="1"/>
  <c r="D268" i="1"/>
  <c r="F268" i="1" s="1"/>
  <c r="E268" i="1" s="1"/>
  <c r="G268" i="1" l="1"/>
  <c r="B269" i="1" l="1"/>
  <c r="A269" i="1"/>
  <c r="C269" i="1"/>
  <c r="D269" i="1" l="1"/>
  <c r="F269" i="1" s="1"/>
  <c r="E269" i="1" s="1"/>
  <c r="G269" i="1" l="1"/>
  <c r="C270" i="1" s="1"/>
  <c r="D270" i="1" s="1"/>
  <c r="F270" i="1" s="1"/>
  <c r="E270" i="1" s="1"/>
  <c r="A270" i="1" l="1"/>
  <c r="B270" i="1"/>
  <c r="G270" i="1"/>
  <c r="C271" i="1" l="1"/>
  <c r="D271" i="1" s="1"/>
  <c r="B271" i="1"/>
  <c r="A271" i="1"/>
  <c r="F271" i="1" l="1"/>
  <c r="E271" i="1" s="1"/>
  <c r="G271" i="1" l="1"/>
  <c r="C272" i="1" l="1"/>
  <c r="D272" i="1" s="1"/>
  <c r="A272" i="1"/>
  <c r="B272" i="1"/>
  <c r="F272" i="1" l="1"/>
  <c r="E272" i="1" s="1"/>
  <c r="G272" i="1" l="1"/>
  <c r="C273" i="1" l="1"/>
  <c r="B273" i="1"/>
  <c r="A273" i="1"/>
  <c r="D273" i="1" l="1"/>
  <c r="F273" i="1" s="1"/>
  <c r="E273" i="1" s="1"/>
  <c r="G273" i="1" l="1"/>
  <c r="A274" i="1" l="1"/>
  <c r="C274" i="1"/>
  <c r="B274" i="1"/>
  <c r="D274" i="1" l="1"/>
  <c r="F274" i="1" s="1"/>
  <c r="E274" i="1" s="1"/>
  <c r="G274" i="1" l="1"/>
  <c r="C275" i="1" s="1"/>
  <c r="A275" i="1" l="1"/>
  <c r="B275" i="1"/>
  <c r="D275" i="1"/>
  <c r="F275" i="1" s="1"/>
  <c r="E275" i="1" s="1"/>
  <c r="G275" i="1" l="1"/>
  <c r="B276" i="1" s="1"/>
  <c r="C276" i="1" l="1"/>
  <c r="A276" i="1"/>
  <c r="D276" i="1"/>
  <c r="F276" i="1" s="1"/>
  <c r="E276" i="1" s="1"/>
  <c r="G276" i="1" l="1"/>
  <c r="B277" i="1" s="1"/>
  <c r="C277" i="1" l="1"/>
  <c r="D277" i="1" s="1"/>
  <c r="A277" i="1"/>
  <c r="F277" i="1" l="1"/>
  <c r="E277" i="1" s="1"/>
  <c r="G277" i="1" l="1"/>
  <c r="A278" i="1" s="1"/>
  <c r="B278" i="1" l="1"/>
  <c r="C278" i="1"/>
  <c r="D278" i="1"/>
  <c r="F278" i="1" s="1"/>
  <c r="E278" i="1" s="1"/>
  <c r="G278" i="1" l="1"/>
  <c r="C279" i="1" l="1"/>
  <c r="B279" i="1"/>
  <c r="A279" i="1"/>
  <c r="D279" i="1" l="1"/>
  <c r="F279" i="1" l="1"/>
  <c r="E279" i="1" s="1"/>
  <c r="G279" i="1" l="1"/>
  <c r="C280" i="1" l="1"/>
  <c r="D280" i="1" s="1"/>
  <c r="F280" i="1" s="1"/>
  <c r="B280" i="1"/>
  <c r="A280" i="1"/>
  <c r="E280" i="1" l="1"/>
  <c r="G280" i="1"/>
  <c r="C281" i="1" l="1"/>
  <c r="D281" i="1" s="1"/>
  <c r="B281" i="1"/>
  <c r="A281" i="1"/>
  <c r="F281" i="1" l="1"/>
  <c r="E281" i="1" s="1"/>
  <c r="G281" i="1" l="1"/>
  <c r="B282" i="1" s="1"/>
  <c r="A282" i="1" l="1"/>
  <c r="C282" i="1"/>
  <c r="D282" i="1" s="1"/>
  <c r="F282" i="1" s="1"/>
  <c r="E282" i="1" s="1"/>
  <c r="G282" i="1" l="1"/>
  <c r="C283" i="1" l="1"/>
  <c r="D283" i="1" s="1"/>
  <c r="B283" i="1"/>
  <c r="A283" i="1"/>
  <c r="F283" i="1" l="1"/>
  <c r="E283" i="1" s="1"/>
  <c r="G283" i="1" l="1"/>
  <c r="C284" i="1" s="1"/>
  <c r="B284" i="1" l="1"/>
  <c r="A284" i="1"/>
  <c r="D284" i="1"/>
  <c r="F284" i="1" s="1"/>
  <c r="E284" i="1" s="1"/>
  <c r="G284" i="1" l="1"/>
  <c r="C285" i="1" l="1"/>
  <c r="B285" i="1"/>
  <c r="A285" i="1"/>
  <c r="D285" i="1" l="1"/>
  <c r="F285" i="1" s="1"/>
  <c r="E285" i="1" s="1"/>
  <c r="G285" i="1" l="1"/>
  <c r="A286" i="1" s="1"/>
  <c r="B286" i="1" l="1"/>
  <c r="C286" i="1"/>
  <c r="D286" i="1" s="1"/>
  <c r="F286" i="1" s="1"/>
  <c r="E286" i="1" s="1"/>
  <c r="G286" i="1" l="1"/>
  <c r="A287" i="1" s="1"/>
  <c r="C287" i="1" l="1"/>
  <c r="D287" i="1" s="1"/>
  <c r="B287" i="1"/>
  <c r="F287" i="1" l="1"/>
  <c r="E287" i="1" s="1"/>
  <c r="G287" i="1" l="1"/>
  <c r="B288" i="1" l="1"/>
  <c r="C288" i="1"/>
  <c r="A288" i="1"/>
  <c r="D288" i="1" l="1"/>
  <c r="F288" i="1" s="1"/>
  <c r="E288" i="1" s="1"/>
  <c r="G288" i="1" l="1"/>
  <c r="B289" i="1" l="1"/>
  <c r="C289" i="1"/>
  <c r="A289" i="1"/>
  <c r="D289" i="1" l="1"/>
  <c r="F289" i="1" s="1"/>
  <c r="E289" i="1" s="1"/>
  <c r="G289" i="1" l="1"/>
  <c r="B290" i="1" l="1"/>
  <c r="C290" i="1"/>
  <c r="A290" i="1"/>
  <c r="D290" i="1"/>
  <c r="F290" i="1" s="1"/>
  <c r="E290" i="1" s="1"/>
  <c r="G290" i="1" l="1"/>
  <c r="B291" i="1" l="1"/>
  <c r="C291" i="1"/>
  <c r="A291" i="1"/>
  <c r="D291" i="1" l="1"/>
  <c r="F291" i="1" s="1"/>
  <c r="E291" i="1" s="1"/>
  <c r="G291" i="1" l="1"/>
  <c r="C292" i="1" l="1"/>
  <c r="D292" i="1" s="1"/>
  <c r="F292" i="1" s="1"/>
  <c r="E292" i="1" s="1"/>
  <c r="B292" i="1"/>
  <c r="A292" i="1"/>
  <c r="G292" i="1" l="1"/>
  <c r="A293" i="1" l="1"/>
  <c r="C293" i="1"/>
  <c r="D293" i="1" s="1"/>
  <c r="F293" i="1" s="1"/>
  <c r="E293" i="1" s="1"/>
  <c r="B293" i="1"/>
  <c r="G293" i="1" l="1"/>
  <c r="A294" i="1" s="1"/>
  <c r="B294" i="1" l="1"/>
  <c r="C294" i="1"/>
  <c r="D294" i="1" s="1"/>
  <c r="F294" i="1" l="1"/>
  <c r="E294" i="1" s="1"/>
  <c r="G294" i="1" l="1"/>
  <c r="B295" i="1" l="1"/>
  <c r="A295" i="1"/>
  <c r="C295" i="1"/>
  <c r="D295" i="1" l="1"/>
  <c r="F295" i="1" l="1"/>
  <c r="E295" i="1" s="1"/>
  <c r="G295" i="1" l="1"/>
  <c r="C296" i="1" l="1"/>
  <c r="D296" i="1" s="1"/>
  <c r="B296" i="1"/>
  <c r="A296" i="1"/>
  <c r="F296" i="1" l="1"/>
  <c r="G296" i="1" s="1"/>
  <c r="C297" i="1" s="1"/>
  <c r="B297" i="1" l="1"/>
  <c r="A297" i="1"/>
  <c r="E296" i="1"/>
  <c r="D297" i="1"/>
  <c r="F297" i="1" s="1"/>
  <c r="E297" i="1" s="1"/>
  <c r="G297" i="1" l="1"/>
  <c r="A298" i="1" s="1"/>
  <c r="B298" i="1" l="1"/>
  <c r="C298" i="1"/>
  <c r="D298" i="1" s="1"/>
  <c r="F298" i="1" s="1"/>
  <c r="E298" i="1" s="1"/>
  <c r="G298" i="1" l="1"/>
  <c r="A299" i="1" l="1"/>
  <c r="C299" i="1"/>
  <c r="B299" i="1"/>
  <c r="D299" i="1"/>
  <c r="F299" i="1" s="1"/>
  <c r="E299" i="1" s="1"/>
  <c r="G299" i="1" l="1"/>
  <c r="C300" i="1" l="1"/>
  <c r="D300" i="1" s="1"/>
  <c r="B300" i="1"/>
  <c r="A300" i="1"/>
  <c r="F300" i="1" l="1"/>
  <c r="E300" i="1" s="1"/>
  <c r="G300" i="1" l="1"/>
  <c r="C301" i="1" l="1"/>
  <c r="D301" i="1" s="1"/>
  <c r="F301" i="1" s="1"/>
  <c r="E301" i="1" s="1"/>
  <c r="B301" i="1"/>
  <c r="A301" i="1"/>
  <c r="G301" i="1" l="1"/>
  <c r="C302" i="1" s="1"/>
  <c r="B302" i="1" l="1"/>
  <c r="A302" i="1"/>
  <c r="D302" i="1"/>
  <c r="F302" i="1" l="1"/>
  <c r="E302" i="1" s="1"/>
  <c r="G302" i="1" l="1"/>
  <c r="B303" i="1" l="1"/>
  <c r="C303" i="1"/>
  <c r="D303" i="1" s="1"/>
  <c r="A303" i="1"/>
  <c r="F303" i="1" l="1"/>
  <c r="E303" i="1" s="1"/>
  <c r="G303" i="1" l="1"/>
  <c r="C304" i="1" l="1"/>
  <c r="D304" i="1" s="1"/>
  <c r="F304" i="1" s="1"/>
  <c r="E304" i="1" s="1"/>
  <c r="B304" i="1"/>
  <c r="A304" i="1"/>
  <c r="G304" i="1" l="1"/>
  <c r="C305" i="1" l="1"/>
  <c r="D305" i="1" s="1"/>
  <c r="F305" i="1" s="1"/>
  <c r="B305" i="1"/>
  <c r="A305" i="1"/>
  <c r="E305" i="1" l="1"/>
  <c r="G305" i="1"/>
  <c r="C306" i="1" s="1"/>
  <c r="A306" i="1" l="1"/>
  <c r="B306" i="1"/>
  <c r="D306" i="1"/>
  <c r="F306" i="1" s="1"/>
  <c r="E306" i="1" s="1"/>
  <c r="G306" i="1" l="1"/>
  <c r="B307" i="1" l="1"/>
  <c r="A307" i="1"/>
  <c r="C307" i="1"/>
  <c r="D307" i="1" l="1"/>
  <c r="F307" i="1" s="1"/>
  <c r="E307" i="1" s="1"/>
  <c r="G307" i="1" l="1"/>
  <c r="B308" i="1" l="1"/>
  <c r="A308" i="1"/>
  <c r="C308" i="1"/>
  <c r="D308" i="1" s="1"/>
  <c r="F308" i="1" s="1"/>
  <c r="E308" i="1" s="1"/>
  <c r="G308" i="1" l="1"/>
  <c r="C309" i="1" s="1"/>
  <c r="D309" i="1" l="1"/>
  <c r="F309" i="1" s="1"/>
  <c r="E309" i="1" s="1"/>
  <c r="A309" i="1"/>
  <c r="B309" i="1"/>
  <c r="G309" i="1" l="1"/>
  <c r="A310" i="1" l="1"/>
  <c r="C310" i="1"/>
  <c r="D310" i="1" s="1"/>
  <c r="B310" i="1"/>
  <c r="F310" i="1" l="1"/>
  <c r="E310" i="1" s="1"/>
  <c r="G310" i="1" l="1"/>
  <c r="B311" i="1" l="1"/>
  <c r="A311" i="1"/>
  <c r="C311" i="1"/>
  <c r="D311" i="1" s="1"/>
  <c r="F311" i="1" l="1"/>
  <c r="E311" i="1" s="1"/>
  <c r="G311" i="1" l="1"/>
  <c r="C312" i="1" s="1"/>
  <c r="D312" i="1" s="1"/>
  <c r="F312" i="1" s="1"/>
  <c r="E312" i="1" s="1"/>
  <c r="B312" i="1" l="1"/>
  <c r="G312" i="1"/>
  <c r="C313" i="1" s="1"/>
  <c r="D313" i="1" s="1"/>
  <c r="A312" i="1"/>
  <c r="F313" i="1" l="1"/>
  <c r="E313" i="1" s="1"/>
  <c r="B313" i="1"/>
  <c r="A313" i="1"/>
  <c r="G313" i="1" l="1"/>
  <c r="C314" i="1"/>
  <c r="D314" i="1" s="1"/>
  <c r="B314" i="1"/>
  <c r="A314" i="1"/>
  <c r="F314" i="1" l="1"/>
  <c r="E314" i="1" s="1"/>
  <c r="G314" i="1" l="1"/>
  <c r="C315" i="1" l="1"/>
  <c r="B315" i="1"/>
  <c r="A315" i="1"/>
  <c r="D315" i="1" l="1"/>
  <c r="F315" i="1" s="1"/>
  <c r="E315" i="1" s="1"/>
  <c r="G315" i="1" l="1"/>
  <c r="C316" i="1" l="1"/>
  <c r="B316" i="1"/>
  <c r="A316" i="1"/>
  <c r="D316" i="1" l="1"/>
  <c r="F316" i="1" l="1"/>
  <c r="E316" i="1" s="1"/>
  <c r="G316" i="1" l="1"/>
  <c r="C317" i="1" l="1"/>
  <c r="B317" i="1"/>
  <c r="A317" i="1"/>
  <c r="D317" i="1" l="1"/>
  <c r="F317" i="1" l="1"/>
  <c r="E317" i="1" s="1"/>
  <c r="G317" i="1" l="1"/>
  <c r="A318" i="1" l="1"/>
  <c r="B318" i="1"/>
  <c r="C318" i="1"/>
  <c r="D318" i="1" s="1"/>
  <c r="F318" i="1" s="1"/>
  <c r="E318" i="1" s="1"/>
  <c r="G318" i="1" l="1"/>
  <c r="B319" i="1" l="1"/>
  <c r="A319" i="1"/>
  <c r="C319" i="1"/>
  <c r="D319" i="1" s="1"/>
  <c r="F319" i="1" l="1"/>
  <c r="E319" i="1" s="1"/>
  <c r="G319" i="1" l="1"/>
  <c r="C320" i="1" l="1"/>
  <c r="B320" i="1"/>
  <c r="A320" i="1"/>
  <c r="D320" i="1"/>
  <c r="F320" i="1" l="1"/>
  <c r="E320" i="1" s="1"/>
  <c r="G320" i="1" l="1"/>
  <c r="C321" i="1" l="1"/>
  <c r="D321" i="1" s="1"/>
  <c r="B321" i="1"/>
  <c r="A321" i="1"/>
  <c r="F321" i="1" l="1"/>
  <c r="E321" i="1" s="1"/>
  <c r="G321" i="1" l="1"/>
  <c r="C322" i="1" l="1"/>
  <c r="D322" i="1" s="1"/>
  <c r="B322" i="1"/>
  <c r="A322" i="1"/>
  <c r="F322" i="1" l="1"/>
  <c r="E322" i="1" s="1"/>
  <c r="G322" i="1" l="1"/>
  <c r="A323" i="1" l="1"/>
  <c r="C323" i="1"/>
  <c r="B323" i="1"/>
  <c r="D323" i="1" l="1"/>
  <c r="F323" i="1" s="1"/>
  <c r="E323" i="1" s="1"/>
  <c r="G323" i="1" l="1"/>
  <c r="C324" i="1" l="1"/>
  <c r="B324" i="1"/>
  <c r="A324" i="1"/>
  <c r="D324" i="1" l="1"/>
  <c r="F324" i="1" s="1"/>
  <c r="E324" i="1" s="1"/>
  <c r="G324" i="1" l="1"/>
  <c r="A325" i="1" s="1"/>
  <c r="B325" i="1" l="1"/>
  <c r="C325" i="1"/>
  <c r="D325" i="1" s="1"/>
  <c r="F325" i="1" l="1"/>
  <c r="E325" i="1" s="1"/>
  <c r="G325" i="1" l="1"/>
  <c r="A326" i="1" l="1"/>
  <c r="C326" i="1"/>
  <c r="D326" i="1" s="1"/>
  <c r="F326" i="1" s="1"/>
  <c r="E326" i="1" s="1"/>
  <c r="B326" i="1"/>
  <c r="G326" i="1" l="1"/>
  <c r="B327" i="1" s="1"/>
  <c r="C327" i="1" l="1"/>
  <c r="D327" i="1" s="1"/>
  <c r="F327" i="1" s="1"/>
  <c r="E327" i="1" s="1"/>
  <c r="A327" i="1"/>
  <c r="G327" i="1" l="1"/>
  <c r="C328" i="1" l="1"/>
  <c r="D328" i="1" s="1"/>
  <c r="F328" i="1" s="1"/>
  <c r="E328" i="1" s="1"/>
  <c r="B328" i="1"/>
  <c r="A328" i="1"/>
  <c r="G328" i="1" l="1"/>
  <c r="C329" i="1" l="1"/>
  <c r="D329" i="1" s="1"/>
  <c r="B329" i="1"/>
  <c r="A329" i="1"/>
  <c r="F329" i="1" l="1"/>
  <c r="E329" i="1" s="1"/>
  <c r="G329" i="1" l="1"/>
  <c r="C330" i="1" l="1"/>
  <c r="D330" i="1" s="1"/>
  <c r="B330" i="1"/>
  <c r="A330" i="1"/>
  <c r="F330" i="1" l="1"/>
  <c r="E330" i="1" s="1"/>
  <c r="G330" i="1" l="1"/>
  <c r="C331" i="1" l="1"/>
  <c r="B331" i="1"/>
  <c r="A331" i="1"/>
  <c r="D331" i="1" l="1"/>
  <c r="F331" i="1" s="1"/>
  <c r="E331" i="1" s="1"/>
  <c r="G331" i="1" l="1"/>
  <c r="B332" i="1" l="1"/>
  <c r="A332" i="1"/>
  <c r="C332" i="1"/>
  <c r="D332" i="1" l="1"/>
  <c r="F332" i="1" s="1"/>
  <c r="E332" i="1" s="1"/>
  <c r="G332" i="1" l="1"/>
  <c r="A333" i="1" s="1"/>
  <c r="B333" i="1" l="1"/>
  <c r="C333" i="1"/>
  <c r="D333" i="1"/>
  <c r="F333" i="1" s="1"/>
  <c r="E333" i="1" s="1"/>
  <c r="G333" i="1" l="1"/>
  <c r="A334" i="1" s="1"/>
  <c r="C334" i="1" l="1"/>
  <c r="D334" i="1" s="1"/>
  <c r="B334" i="1"/>
  <c r="F334" i="1" l="1"/>
  <c r="E334" i="1" s="1"/>
  <c r="G334" i="1" l="1"/>
  <c r="B335" i="1" l="1"/>
  <c r="A335" i="1"/>
  <c r="C335" i="1"/>
  <c r="D335" i="1" l="1"/>
  <c r="F335" i="1" l="1"/>
  <c r="E335" i="1" s="1"/>
  <c r="G335" i="1" l="1"/>
  <c r="C336" i="1" l="1"/>
  <c r="D336" i="1" s="1"/>
  <c r="B336" i="1"/>
  <c r="A336" i="1"/>
  <c r="F336" i="1" l="1"/>
  <c r="E336" i="1" s="1"/>
  <c r="G336" i="1" l="1"/>
  <c r="C337" i="1" l="1"/>
  <c r="D337" i="1" s="1"/>
  <c r="B337" i="1"/>
  <c r="A337" i="1"/>
  <c r="F337" i="1" l="1"/>
  <c r="E337" i="1" s="1"/>
  <c r="G337" i="1" l="1"/>
  <c r="C338" i="1" l="1"/>
  <c r="D338" i="1" s="1"/>
  <c r="B338" i="1"/>
  <c r="A338" i="1"/>
  <c r="F338" i="1" l="1"/>
  <c r="E338" i="1" s="1"/>
  <c r="G338" i="1" l="1"/>
  <c r="C339" i="1" l="1"/>
  <c r="B339" i="1"/>
  <c r="A339" i="1"/>
  <c r="D339" i="1" l="1"/>
  <c r="F339" i="1" s="1"/>
  <c r="E339" i="1" s="1"/>
  <c r="G339" i="1" l="1"/>
  <c r="C340" i="1" s="1"/>
  <c r="A340" i="1" l="1"/>
  <c r="B340" i="1"/>
  <c r="D340" i="1"/>
  <c r="F340" i="1" l="1"/>
  <c r="E340" i="1" s="1"/>
  <c r="G340" i="1" l="1"/>
  <c r="C341" i="1" l="1"/>
  <c r="D341" i="1" s="1"/>
  <c r="B341" i="1"/>
  <c r="A341" i="1"/>
  <c r="F341" i="1" l="1"/>
  <c r="E341" i="1" s="1"/>
  <c r="G341" i="1" l="1"/>
  <c r="A342" i="1" l="1"/>
  <c r="C342" i="1"/>
  <c r="B342" i="1"/>
  <c r="D342" i="1" l="1"/>
  <c r="F342" i="1" s="1"/>
  <c r="E342" i="1" s="1"/>
  <c r="G342" i="1" l="1"/>
  <c r="B343" i="1" s="1"/>
  <c r="C343" i="1" l="1"/>
  <c r="D343" i="1" s="1"/>
  <c r="F343" i="1" s="1"/>
  <c r="E343" i="1" s="1"/>
  <c r="A343" i="1"/>
  <c r="G343" i="1" l="1"/>
  <c r="C344" i="1" l="1"/>
  <c r="D344" i="1" s="1"/>
  <c r="B344" i="1"/>
  <c r="A344" i="1"/>
  <c r="F344" i="1" l="1"/>
  <c r="E344" i="1" s="1"/>
  <c r="G344" i="1" l="1"/>
  <c r="C345" i="1" l="1"/>
  <c r="D345" i="1" s="1"/>
  <c r="B345" i="1"/>
  <c r="A345" i="1"/>
  <c r="F345" i="1" l="1"/>
  <c r="E345" i="1" s="1"/>
  <c r="G345" i="1" l="1"/>
  <c r="C346" i="1" l="1"/>
  <c r="D346" i="1" s="1"/>
  <c r="B346" i="1"/>
  <c r="A346" i="1"/>
  <c r="F346" i="1" l="1"/>
  <c r="E346" i="1" s="1"/>
  <c r="G346" i="1" l="1"/>
  <c r="B347" i="1" l="1"/>
  <c r="C347" i="1"/>
  <c r="A347" i="1"/>
  <c r="D347" i="1" l="1"/>
  <c r="F347" i="1" s="1"/>
  <c r="E347" i="1" s="1"/>
  <c r="G347" i="1" l="1"/>
  <c r="C348" i="1" l="1"/>
  <c r="B348" i="1"/>
  <c r="A348" i="1"/>
  <c r="D348" i="1" l="1"/>
  <c r="F348" i="1" s="1"/>
  <c r="E348" i="1" s="1"/>
  <c r="G348" i="1" l="1"/>
  <c r="C349" i="1" s="1"/>
  <c r="A349" i="1" l="1"/>
  <c r="B349" i="1"/>
  <c r="D349" i="1"/>
  <c r="F349" i="1" s="1"/>
  <c r="E349" i="1" s="1"/>
  <c r="G349" i="1" l="1"/>
  <c r="A350" i="1" s="1"/>
  <c r="B350" i="1" l="1"/>
  <c r="C350" i="1"/>
  <c r="D350" i="1" s="1"/>
  <c r="F350" i="1" s="1"/>
  <c r="E350" i="1" s="1"/>
  <c r="G350" i="1" l="1"/>
  <c r="B351" i="1" l="1"/>
  <c r="A351" i="1"/>
  <c r="C351" i="1"/>
  <c r="D351" i="1" l="1"/>
  <c r="F351" i="1" s="1"/>
  <c r="E351" i="1" s="1"/>
  <c r="G351" i="1" l="1"/>
  <c r="C352" i="1" s="1"/>
  <c r="A352" i="1" l="1"/>
  <c r="B352" i="1"/>
  <c r="D352" i="1"/>
  <c r="F352" i="1" s="1"/>
  <c r="E352" i="1" s="1"/>
  <c r="G352" i="1" l="1"/>
  <c r="C353" i="1" l="1"/>
  <c r="D353" i="1" s="1"/>
  <c r="B353" i="1"/>
  <c r="A353" i="1"/>
  <c r="F353" i="1" l="1"/>
  <c r="E353" i="1" s="1"/>
  <c r="G353" i="1" l="1"/>
  <c r="C354" i="1" l="1"/>
  <c r="D354" i="1" s="1"/>
  <c r="A354" i="1"/>
  <c r="B354" i="1"/>
  <c r="F354" i="1" l="1"/>
  <c r="E354" i="1" s="1"/>
  <c r="G354" i="1" l="1"/>
  <c r="C355" i="1" l="1"/>
  <c r="B355" i="1"/>
  <c r="A355" i="1"/>
  <c r="D355" i="1" l="1"/>
  <c r="F355" i="1" s="1"/>
  <c r="E355" i="1" s="1"/>
  <c r="G355" i="1" l="1"/>
  <c r="A356" i="1" l="1"/>
  <c r="C356" i="1"/>
  <c r="B356" i="1"/>
  <c r="D356" i="1" l="1"/>
  <c r="F356" i="1" s="1"/>
  <c r="E356" i="1" s="1"/>
  <c r="G356" i="1" l="1"/>
  <c r="A357" i="1" s="1"/>
  <c r="B357" i="1" l="1"/>
  <c r="C357" i="1"/>
  <c r="D357" i="1" s="1"/>
  <c r="F357" i="1" s="1"/>
  <c r="E357" i="1" s="1"/>
  <c r="G357" i="1" l="1"/>
  <c r="A358" i="1" l="1"/>
  <c r="C358" i="1"/>
  <c r="B358" i="1"/>
  <c r="D358" i="1" l="1"/>
  <c r="F358" i="1" s="1"/>
  <c r="E358" i="1" s="1"/>
  <c r="G358" i="1" l="1"/>
  <c r="B359" i="1" s="1"/>
  <c r="A359" i="1" l="1"/>
  <c r="C359" i="1"/>
  <c r="D359" i="1" s="1"/>
  <c r="F359" i="1" s="1"/>
  <c r="E359" i="1" s="1"/>
  <c r="G359" i="1" l="1"/>
  <c r="C360" i="1" l="1"/>
  <c r="D360" i="1" s="1"/>
  <c r="B360" i="1"/>
  <c r="A360" i="1"/>
  <c r="F360" i="1" l="1"/>
  <c r="E360" i="1" s="1"/>
  <c r="G360" i="1" l="1"/>
  <c r="C361" i="1" l="1"/>
  <c r="B361" i="1"/>
  <c r="A361" i="1"/>
  <c r="D361" i="1" l="1"/>
  <c r="F361" i="1" l="1"/>
  <c r="E361" i="1" s="1"/>
  <c r="G361" i="1" l="1"/>
  <c r="C362" i="1" l="1"/>
  <c r="D362" i="1" s="1"/>
  <c r="B362" i="1"/>
  <c r="A362" i="1"/>
  <c r="F362" i="1" l="1"/>
  <c r="E362" i="1" s="1"/>
  <c r="G362" i="1" l="1"/>
  <c r="B363" i="1" l="1"/>
  <c r="A363" i="1"/>
  <c r="C363" i="1"/>
  <c r="D363" i="1" s="1"/>
  <c r="F363" i="1" s="1"/>
  <c r="E363" i="1" l="1"/>
  <c r="G363" i="1"/>
  <c r="C364" i="1" l="1"/>
  <c r="B364" i="1"/>
  <c r="A364" i="1"/>
  <c r="D364" i="1" l="1"/>
  <c r="F364" i="1" s="1"/>
  <c r="E364" i="1" s="1"/>
  <c r="G364" i="1" l="1"/>
  <c r="B365" i="1" s="1"/>
  <c r="C365" i="1" l="1"/>
  <c r="A365" i="1"/>
  <c r="D365" i="1"/>
  <c r="F365" i="1" s="1"/>
  <c r="E365" i="1" s="1"/>
  <c r="G365" i="1" l="1"/>
  <c r="A366" i="1" s="1"/>
  <c r="B366" i="1" l="1"/>
  <c r="C366" i="1"/>
  <c r="D366" i="1" s="1"/>
  <c r="F366" i="1" l="1"/>
  <c r="E366" i="1" s="1"/>
  <c r="G366" i="1" l="1"/>
  <c r="B367" i="1" l="1"/>
  <c r="A367" i="1"/>
  <c r="C367" i="1"/>
  <c r="D367" i="1" l="1"/>
  <c r="F367" i="1" l="1"/>
  <c r="E367" i="1" s="1"/>
  <c r="G367" i="1" l="1"/>
  <c r="C368" i="1" l="1"/>
  <c r="D368" i="1" s="1"/>
  <c r="B368" i="1"/>
  <c r="A368" i="1"/>
  <c r="F368" i="1" l="1"/>
  <c r="E368" i="1" s="1"/>
  <c r="G368" i="1" l="1"/>
  <c r="A369" i="1" l="1"/>
  <c r="C369" i="1"/>
  <c r="D369" i="1" s="1"/>
  <c r="F369" i="1" s="1"/>
  <c r="E369" i="1" s="1"/>
  <c r="B369" i="1"/>
  <c r="G369" i="1" l="1"/>
  <c r="B370" i="1" s="1"/>
  <c r="C370" i="1" l="1"/>
  <c r="D370" i="1" s="1"/>
  <c r="F370" i="1" s="1"/>
  <c r="E370" i="1" s="1"/>
  <c r="A370" i="1"/>
  <c r="G370" i="1" l="1"/>
  <c r="C371" i="1" l="1"/>
  <c r="D371" i="1" s="1"/>
  <c r="F371" i="1" s="1"/>
  <c r="E371" i="1" s="1"/>
  <c r="B371" i="1"/>
  <c r="A371" i="1"/>
  <c r="G371" i="1" l="1"/>
  <c r="A372" i="1" l="1"/>
  <c r="C372" i="1"/>
  <c r="B372" i="1"/>
  <c r="D372" i="1" l="1"/>
  <c r="F372" i="1" l="1"/>
  <c r="E372" i="1" s="1"/>
  <c r="G372" i="1" l="1"/>
  <c r="C373" i="1" l="1"/>
  <c r="D373" i="1" s="1"/>
  <c r="B373" i="1"/>
  <c r="A373" i="1"/>
  <c r="F373" i="1" l="1"/>
  <c r="E373" i="1" s="1"/>
  <c r="G373" i="1" l="1"/>
  <c r="A374" i="1" l="1"/>
  <c r="C374" i="1"/>
  <c r="B374" i="1"/>
  <c r="D374" i="1"/>
  <c r="F374" i="1" s="1"/>
  <c r="E374" i="1" s="1"/>
  <c r="G374" i="1" l="1"/>
  <c r="A375" i="1" s="1"/>
  <c r="B375" i="1" l="1"/>
  <c r="C375" i="1"/>
  <c r="D375" i="1" s="1"/>
  <c r="F375" i="1" l="1"/>
  <c r="D376" i="1"/>
  <c r="E375" i="1" l="1"/>
  <c r="E376" i="1" s="1"/>
  <c r="F376" i="1"/>
  <c r="G375" i="1"/>
</calcChain>
</file>

<file path=xl/sharedStrings.xml><?xml version="1.0" encoding="utf-8"?>
<sst xmlns="http://schemas.openxmlformats.org/spreadsheetml/2006/main" count="25" uniqueCount="25">
  <si>
    <t>Compta Clear Sàrl / Bosquets de Paudille 23 - 1803 Chardonne / 021 323 90 00 / info@comptaclear.ch / www.comptaclear.ch</t>
  </si>
  <si>
    <t>Téléchargeable gratuitement sous https://comptaclear.ch/telechargements/</t>
  </si>
  <si>
    <t>CALCULATEUR DE REMBOURSEMENT DE DETTE</t>
  </si>
  <si>
    <t>Renseignez les 4 cellules jaunes — tout se calcule automatiquement</t>
  </si>
  <si>
    <t xml:space="preserve">  PARAMÈTRES D'ENTRÉE</t>
  </si>
  <si>
    <t xml:space="preserve">  RÉSULTATS</t>
  </si>
  <si>
    <t>Montant de la dette (CHF)</t>
  </si>
  <si>
    <t>Nombre de mois</t>
  </si>
  <si>
    <t>Taux d'intérêt annuel (%)</t>
  </si>
  <si>
    <t>Date de fin estimée</t>
  </si>
  <si>
    <t>Paiement mensuel (CHF)</t>
  </si>
  <si>
    <t>Total des intérêts payés</t>
  </si>
  <si>
    <t>Date de départ</t>
  </si>
  <si>
    <t>Montant total remboursé</t>
  </si>
  <si>
    <t>⚠  Si le paiement mensuel ≤ intérêts du mois, la dette ne sera jamais remboursée.  |  Modifiez les cellules jaunes.</t>
  </si>
  <si>
    <t xml:space="preserve">  TABLEAU D'AMORTISSEMENT — les lignes disparaissent automatiquement une fois la dette remboursée</t>
  </si>
  <si>
    <t>Mois</t>
  </si>
  <si>
    <t>Date paiement</t>
  </si>
  <si>
    <t>Solde début (CHF)</t>
  </si>
  <si>
    <t>Intérêts (CHF)</t>
  </si>
  <si>
    <t>Capital (CHF)</t>
  </si>
  <si>
    <t>Paiement (CHF)</t>
  </si>
  <si>
    <t>Solde fin (CHF)</t>
  </si>
  <si>
    <t>TOTAUX</t>
  </si>
  <si>
    <t xml:space="preserve">Note importante – Conditions d’utilisation
Cet outil constitue un aide-mémoire budgétaire à usage privé. Il a été développé par la fiduciaire Compta Clear Sàrl (https://comptaclear.ch) à titre purement informatif. Les informations, calculs et estimations fournis ne constituent ni un conseil financier, fiscal ou juridique et sont fournis sans garantie quant à leur exactitude, leur exhaustivité ou leur adéquation à une situation particulière. Compta Clear Sàrl décline toute responsabilité en cas d’erreurs, d’omissions, de mauvaise interprétation ou d’utilisation inappropriée de ce document, ainsi que pour toute décision prise sur la base des informations qu’il contient. En téléchargeant et en utilisant ce fichier, l’utilisateur accepte tacitement les conditions générales de Compta Clear Sàrl.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</si>
</sst>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CHF&quot;"/>
    <numFmt numFmtId="165" formatCode="0&quot; mois&quot;"/>
    <numFmt numFmtId="166" formatCode="dd/mm/yyyy"/>
  </numFmts>
  <fonts count="18" x14ac:knownFonts="1">
    <font>
      <sz val="11"/>
      <color theme="1"/>
      <name val="Calibri"/>
      <family val="2"/>
      <charset val="1"/>
    </font>
    <font>
      <sz val="12"/>
      <color theme="1"/>
      <name val="Calibri"/>
      <family val="2"/>
      <charset val="1"/>
    </font>
    <font>
      <u/>
      <sz val="12"/>
      <color theme="10"/>
      <name val="Calibri"/>
      <family val="2"/>
      <charset val="1"/>
    </font>
    <font>
      <u/>
      <sz val="11"/>
      <color theme="10"/>
      <name val="Calibri"/>
      <family val="2"/>
      <charset val="1"/>
    </font>
    <font>
      <b/>
      <sz val="15"/>
      <color rgb="FFFFFFFF"/>
      <name val="Arial"/>
      <family val="2"/>
      <charset val="1"/>
    </font>
    <font>
      <i/>
      <sz val="9"/>
      <color rgb="FF7D6608"/>
      <name val="Arial"/>
      <family val="2"/>
      <charset val="1"/>
    </font>
    <font>
      <b/>
      <sz val="10"/>
      <color rgb="FFFFFFFF"/>
      <name val="Arial"/>
      <family val="2"/>
      <charset val="1"/>
    </font>
    <font>
      <b/>
      <sz val="10"/>
      <color rgb="FF2C3E50"/>
      <name val="Arial"/>
      <family val="2"/>
      <charset val="1"/>
    </font>
    <font>
      <b/>
      <sz val="11"/>
      <color rgb="FF0000FF"/>
      <name val="Arial"/>
      <family val="2"/>
      <charset val="1"/>
    </font>
    <font>
      <b/>
      <sz val="10"/>
      <color rgb="FF1A5276"/>
      <name val="Arial"/>
      <family val="2"/>
      <charset val="1"/>
    </font>
    <font>
      <b/>
      <sz val="11"/>
      <color rgb="FF000000"/>
      <name val="Arial"/>
      <family val="2"/>
      <charset val="1"/>
    </font>
    <font>
      <sz val="10"/>
      <color rgb="FF888888"/>
      <name val="Arial"/>
      <family val="2"/>
      <charset val="1"/>
    </font>
    <font>
      <sz val="10"/>
      <color rgb="FF000000"/>
      <name val="Arial"/>
      <family val="2"/>
      <charset val="1"/>
    </font>
    <font>
      <sz val="10"/>
      <color rgb="FFC0392B"/>
      <name val="Arial"/>
      <family val="2"/>
      <charset val="1"/>
    </font>
    <font>
      <sz val="10"/>
      <color rgb="FF1E8449"/>
      <name val="Arial"/>
      <family val="2"/>
      <charset val="1"/>
    </font>
    <font>
      <b/>
      <sz val="10"/>
      <color rgb="FF000000"/>
      <name val="Arial"/>
      <family val="2"/>
      <charset val="1"/>
    </font>
    <font>
      <sz val="10"/>
      <color theme="1"/>
      <name val="Calibri"/>
      <family val="2"/>
      <charset val="1"/>
    </font>
    <font>
      <i/>
      <sz val="9"/>
      <color rgb="FF888888"/>
      <name val="Arial"/>
      <family val="2"/>
    </font>
  </fonts>
  <fills count="11">
    <fill>
      <patternFill patternType="none"/>
    </fill>
    <fill>
      <patternFill patternType="gray125"/>
    </fill>
    <fill>
      <patternFill patternType="solid">
        <fgColor rgb="FF1B2A4A"/>
        <bgColor rgb="FF2C3E50"/>
      </patternFill>
    </fill>
    <fill>
      <patternFill patternType="solid">
        <fgColor rgb="FFFEFBD8"/>
        <bgColor rgb="FFFFF3CD"/>
      </patternFill>
    </fill>
    <fill>
      <patternFill patternType="solid">
        <fgColor rgb="FF2C3E50"/>
        <bgColor rgb="FF1B2A4A"/>
      </patternFill>
    </fill>
    <fill>
      <patternFill patternType="solid">
        <fgColor rgb="FF1E8449"/>
        <bgColor rgb="FF008080"/>
      </patternFill>
    </fill>
    <fill>
      <patternFill patternType="solid">
        <fgColor rgb="FFD6EAF8"/>
        <bgColor rgb="FFD5F5E3"/>
      </patternFill>
    </fill>
    <fill>
      <patternFill patternType="solid">
        <fgColor rgb="FFFFF3CD"/>
        <bgColor rgb="FFFEFBD8"/>
      </patternFill>
    </fill>
    <fill>
      <patternFill patternType="solid">
        <fgColor rgb="FFD5F5E3"/>
        <bgColor rgb="FFD6EAF8"/>
      </patternFill>
    </fill>
    <fill>
      <patternFill patternType="solid">
        <fgColor rgb="FFFFFFFF"/>
        <bgColor rgb="FFF4F6F9"/>
      </patternFill>
    </fill>
    <fill>
      <patternFill patternType="solid">
        <fgColor rgb="FFF4F6F9"/>
        <bgColor rgb="FFFFFFFF"/>
      </patternFill>
    </fill>
  </fills>
  <borders count="10">
    <border>
      <left/>
      <right/>
      <top/>
      <bottom/>
      <diagonal/>
    </border>
    <border>
      <left style="thin">
        <color theme="1"/>
      </left>
      <right style="thin">
        <color theme="1"/>
      </right>
      <top style="thin">
        <color theme="1"/>
      </top>
      <bottom style="thin">
        <color theme="1"/>
      </bottom>
      <diagonal/>
    </border>
    <border>
      <left style="thin">
        <color rgb="FFBDC3C7"/>
      </left>
      <right style="thin">
        <color rgb="FFBDC3C7"/>
      </right>
      <top/>
      <bottom/>
      <diagonal/>
    </border>
    <border>
      <left style="thin">
        <color rgb="FFBDC3C7"/>
      </left>
      <right style="thin">
        <color rgb="FFBDC3C7"/>
      </right>
      <top style="thin">
        <color rgb="FFBDC3C7"/>
      </top>
      <bottom style="thin">
        <color rgb="FFBDC3C7"/>
      </bottom>
      <diagonal/>
    </border>
    <border>
      <left style="thin">
        <color rgb="FFBDC3C7"/>
      </left>
      <right style="thin">
        <color rgb="FFBDC3C7"/>
      </right>
      <top/>
      <bottom style="thin">
        <color rgb="FFBDC3C7"/>
      </bottom>
      <diagonal/>
    </border>
    <border>
      <left style="thin">
        <color rgb="FFBDC3C7"/>
      </left>
      <right/>
      <top style="thin">
        <color rgb="FFBDC3C7"/>
      </top>
      <bottom style="thin">
        <color rgb="FFBDC3C7"/>
      </bottom>
      <diagonal/>
    </border>
    <border>
      <left style="thin">
        <color rgb="FFBDC3C7"/>
      </left>
      <right/>
      <top/>
      <bottom/>
      <diagonal/>
    </border>
    <border>
      <left style="medium">
        <color rgb="FFFF0000"/>
      </left>
      <right style="medium">
        <color rgb="FFFF0000"/>
      </right>
      <top style="medium">
        <color rgb="FFFF0000"/>
      </top>
      <bottom style="thin">
        <color rgb="FFBDC3C7"/>
      </bottom>
      <diagonal/>
    </border>
    <border>
      <left style="medium">
        <color rgb="FFFF0000"/>
      </left>
      <right style="medium">
        <color rgb="FFFF0000"/>
      </right>
      <top style="thin">
        <color rgb="FFBDC3C7"/>
      </top>
      <bottom style="thin">
        <color rgb="FFBDC3C7"/>
      </bottom>
      <diagonal/>
    </border>
    <border>
      <left style="medium">
        <color rgb="FFFF0000"/>
      </left>
      <right style="medium">
        <color rgb="FFFF0000"/>
      </right>
      <top style="thin">
        <color rgb="FFBDC3C7"/>
      </top>
      <bottom style="medium">
        <color rgb="FFFF0000"/>
      </bottom>
      <diagonal/>
    </border>
  </borders>
  <cellStyleXfs count="2">
    <xf numFmtId="0" fontId="0" fillId="0" borderId="0"/>
    <xf numFmtId="0" fontId="3" fillId="0" borderId="0"/>
  </cellStyleXfs>
  <cellXfs count="37">
    <xf numFmtId="0" fontId="0" fillId="0" borderId="0" xfId="0"/>
    <xf numFmtId="165" fontId="10" fillId="8" borderId="3" xfId="0" applyNumberFormat="1" applyFont="1" applyFill="1" applyBorder="1" applyAlignment="1">
      <alignment horizontal="right" vertical="center"/>
    </xf>
    <xf numFmtId="166" fontId="10" fillId="8" borderId="3" xfId="0" applyNumberFormat="1" applyFont="1" applyFill="1" applyBorder="1" applyAlignment="1">
      <alignment horizontal="right" vertical="center"/>
    </xf>
    <xf numFmtId="164" fontId="10" fillId="8" borderId="3" xfId="0" applyNumberFormat="1" applyFont="1" applyFill="1" applyBorder="1" applyAlignment="1">
      <alignment horizontal="right" vertical="center"/>
    </xf>
    <xf numFmtId="0" fontId="6" fillId="2" borderId="0" xfId="0" applyFont="1" applyFill="1" applyAlignment="1">
      <alignment vertical="center"/>
    </xf>
    <xf numFmtId="0" fontId="6" fillId="4" borderId="3" xfId="0" applyFont="1" applyFill="1" applyBorder="1" applyAlignment="1">
      <alignment horizontal="center" vertical="center"/>
    </xf>
    <xf numFmtId="0" fontId="11" fillId="9" borderId="4" xfId="0" applyFont="1" applyFill="1" applyBorder="1" applyAlignment="1">
      <alignment horizontal="center" vertical="center"/>
    </xf>
    <xf numFmtId="166" fontId="12" fillId="9" borderId="4" xfId="0" applyNumberFormat="1" applyFont="1" applyFill="1" applyBorder="1" applyAlignment="1">
      <alignment horizontal="center" vertical="center"/>
    </xf>
    <xf numFmtId="4" fontId="12" fillId="9" borderId="4" xfId="0" applyNumberFormat="1" applyFont="1" applyFill="1" applyBorder="1" applyAlignment="1">
      <alignment horizontal="right" vertical="center"/>
    </xf>
    <xf numFmtId="4" fontId="13" fillId="9" borderId="4" xfId="0" applyNumberFormat="1" applyFont="1" applyFill="1" applyBorder="1" applyAlignment="1">
      <alignment horizontal="right" vertical="center"/>
    </xf>
    <xf numFmtId="4" fontId="14" fillId="9" borderId="4" xfId="0" applyNumberFormat="1" applyFont="1" applyFill="1" applyBorder="1" applyAlignment="1">
      <alignment horizontal="right" vertical="center"/>
    </xf>
    <xf numFmtId="4" fontId="15" fillId="9" borderId="4" xfId="0" applyNumberFormat="1" applyFont="1" applyFill="1" applyBorder="1" applyAlignment="1" applyProtection="1">
      <alignment horizontal="right" vertical="center"/>
      <protection locked="0"/>
    </xf>
    <xf numFmtId="4" fontId="9" fillId="9" borderId="4" xfId="0" applyNumberFormat="1" applyFont="1" applyFill="1" applyBorder="1" applyAlignment="1">
      <alignment horizontal="right" vertical="center"/>
    </xf>
    <xf numFmtId="0" fontId="11" fillId="10" borderId="4" xfId="0" applyFont="1" applyFill="1" applyBorder="1" applyAlignment="1">
      <alignment horizontal="center" vertical="center"/>
    </xf>
    <xf numFmtId="166" fontId="12" fillId="10" borderId="4" xfId="0" applyNumberFormat="1" applyFont="1" applyFill="1" applyBorder="1" applyAlignment="1">
      <alignment horizontal="center" vertical="center"/>
    </xf>
    <xf numFmtId="4" fontId="12" fillId="10" borderId="4" xfId="0" applyNumberFormat="1" applyFont="1" applyFill="1" applyBorder="1" applyAlignment="1">
      <alignment horizontal="right" vertical="center"/>
    </xf>
    <xf numFmtId="4" fontId="13" fillId="10" borderId="4" xfId="0" applyNumberFormat="1" applyFont="1" applyFill="1" applyBorder="1" applyAlignment="1">
      <alignment horizontal="right" vertical="center"/>
    </xf>
    <xf numFmtId="4" fontId="14" fillId="10" borderId="4" xfId="0" applyNumberFormat="1" applyFont="1" applyFill="1" applyBorder="1" applyAlignment="1">
      <alignment horizontal="right" vertical="center"/>
    </xf>
    <xf numFmtId="4" fontId="15" fillId="10" borderId="4" xfId="0" applyNumberFormat="1" applyFont="1" applyFill="1" applyBorder="1" applyAlignment="1" applyProtection="1">
      <alignment horizontal="right" vertical="center"/>
      <protection locked="0"/>
    </xf>
    <xf numFmtId="4" fontId="9" fillId="10" borderId="4" xfId="0" applyNumberFormat="1" applyFont="1" applyFill="1" applyBorder="1" applyAlignment="1">
      <alignment horizontal="right" vertical="center"/>
    </xf>
    <xf numFmtId="4" fontId="6" fillId="2" borderId="3" xfId="0" applyNumberFormat="1" applyFont="1" applyFill="1" applyBorder="1" applyAlignment="1">
      <alignment horizontal="right" vertical="center"/>
    </xf>
    <xf numFmtId="0" fontId="16" fillId="0" borderId="0" xfId="0" applyFont="1"/>
    <xf numFmtId="164" fontId="8" fillId="7" borderId="7" xfId="0" applyNumberFormat="1" applyFont="1" applyFill="1" applyBorder="1" applyAlignment="1" applyProtection="1">
      <alignment horizontal="right" vertical="center"/>
      <protection locked="0"/>
    </xf>
    <xf numFmtId="10" fontId="8" fillId="7" borderId="8" xfId="0" applyNumberFormat="1" applyFont="1" applyFill="1" applyBorder="1" applyAlignment="1" applyProtection="1">
      <alignment horizontal="right" vertical="center"/>
      <protection locked="0"/>
    </xf>
    <xf numFmtId="164" fontId="8" fillId="7" borderId="8" xfId="0" applyNumberFormat="1" applyFont="1" applyFill="1" applyBorder="1" applyAlignment="1" applyProtection="1">
      <alignment horizontal="right" vertical="center"/>
      <protection locked="0"/>
    </xf>
    <xf numFmtId="166" fontId="8" fillId="7" borderId="9" xfId="0" applyNumberFormat="1" applyFont="1" applyFill="1" applyBorder="1" applyAlignment="1" applyProtection="1">
      <alignment horizontal="right" vertical="center"/>
      <protection locked="0"/>
    </xf>
    <xf numFmtId="0" fontId="17" fillId="0" borderId="0" xfId="0" applyFont="1" applyAlignment="1">
      <alignment horizontal="left" vertical="center" wrapText="1"/>
    </xf>
    <xf numFmtId="0" fontId="7" fillId="6" borderId="2" xfId="0" applyFont="1" applyFill="1" applyBorder="1" applyAlignment="1">
      <alignment horizontal="center" vertical="center"/>
    </xf>
    <xf numFmtId="0" fontId="7" fillId="6" borderId="6" xfId="0" applyFont="1" applyFill="1" applyBorder="1" applyAlignment="1">
      <alignment horizontal="center" vertical="center"/>
    </xf>
    <xf numFmtId="0" fontId="9" fillId="6" borderId="2" xfId="0" applyFont="1" applyFill="1" applyBorder="1" applyAlignment="1">
      <alignment horizontal="center" vertical="center"/>
    </xf>
    <xf numFmtId="0" fontId="5" fillId="3" borderId="0" xfId="0" applyFont="1" applyFill="1" applyAlignment="1">
      <alignment horizontal="center" vertical="center"/>
    </xf>
    <xf numFmtId="0" fontId="6" fillId="2" borderId="5" xfId="0" applyFont="1" applyFill="1" applyBorder="1" applyAlignment="1">
      <alignment horizontal="center" vertical="center"/>
    </xf>
    <xf numFmtId="0" fontId="1" fillId="0" borderId="1" xfId="0" applyFont="1" applyBorder="1" applyAlignment="1">
      <alignment horizontal="center"/>
    </xf>
    <xf numFmtId="0" fontId="2" fillId="0" borderId="1" xfId="1" applyFont="1" applyBorder="1" applyAlignment="1">
      <alignment horizontal="center"/>
    </xf>
    <xf numFmtId="0" fontId="4" fillId="2"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D6608"/>
      <rgbColor rgb="FF800080"/>
      <rgbColor rgb="FF008080"/>
      <rgbColor rgb="FFBDC3C7"/>
      <rgbColor rgb="FF888888"/>
      <rgbColor rgb="FF9999FF"/>
      <rgbColor rgb="FF993366"/>
      <rgbColor rgb="FFFEFBD8"/>
      <rgbColor rgb="FFD6EAF8"/>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4F6F9"/>
      <rgbColor rgb="FFD5F5E3"/>
      <rgbColor rgb="FFFFF3CD"/>
      <rgbColor rgb="FF99CCFF"/>
      <rgbColor rgb="FFFF99CC"/>
      <rgbColor rgb="FFCC99FF"/>
      <rgbColor rgb="FFFFCC99"/>
      <rgbColor rgb="FF3366FF"/>
      <rgbColor rgb="FF33CCCC"/>
      <rgbColor rgb="FF99CC00"/>
      <rgbColor rgb="FFFFCC00"/>
      <rgbColor rgb="FFFF9900"/>
      <rgbColor rgb="FFFF6600"/>
      <rgbColor rgb="FF666699"/>
      <rgbColor rgb="FF969696"/>
      <rgbColor rgb="FF1B2A4A"/>
      <rgbColor rgb="FF1E8449"/>
      <rgbColor rgb="FF003300"/>
      <rgbColor rgb="FF333300"/>
      <rgbColor rgb="FFC0392B"/>
      <rgbColor rgb="FF993366"/>
      <rgbColor rgb="FF1A5276"/>
      <rgbColor rgb="FF2C3E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omptaclear.ch/telecharg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8"/>
  <sheetViews>
    <sheetView showGridLines="0" tabSelected="1" zoomScale="120" zoomScaleNormal="120" workbookViewId="0">
      <selection activeCell="C7" sqref="C7"/>
    </sheetView>
  </sheetViews>
  <sheetFormatPr baseColWidth="10" defaultColWidth="8.6640625" defaultRowHeight="15" x14ac:dyDescent="0.2"/>
  <cols>
    <col min="1" max="1" width="16" customWidth="1"/>
    <col min="2" max="2" width="14" customWidth="1"/>
    <col min="3" max="7" width="16" customWidth="1"/>
  </cols>
  <sheetData>
    <row r="1" spans="1:7" ht="15.75" customHeight="1" x14ac:dyDescent="0.2">
      <c r="A1" s="32" t="s">
        <v>0</v>
      </c>
      <c r="B1" s="32"/>
      <c r="C1" s="32"/>
      <c r="D1" s="32"/>
      <c r="E1" s="32"/>
      <c r="F1" s="32"/>
      <c r="G1" s="32"/>
    </row>
    <row r="2" spans="1:7" ht="15.75" customHeight="1" x14ac:dyDescent="0.2">
      <c r="A2" s="33" t="s">
        <v>1</v>
      </c>
      <c r="B2" s="33"/>
      <c r="C2" s="33"/>
      <c r="D2" s="33"/>
      <c r="E2" s="33"/>
      <c r="F2" s="33"/>
      <c r="G2" s="33"/>
    </row>
    <row r="3" spans="1:7" ht="37.5" customHeight="1" x14ac:dyDescent="0.2">
      <c r="A3" s="34" t="s">
        <v>2</v>
      </c>
      <c r="B3" s="34"/>
      <c r="C3" s="34"/>
      <c r="D3" s="34"/>
      <c r="E3" s="34"/>
      <c r="F3" s="34"/>
      <c r="G3" s="34"/>
    </row>
    <row r="4" spans="1:7" ht="15.75" customHeight="1" x14ac:dyDescent="0.2">
      <c r="A4" s="30" t="s">
        <v>3</v>
      </c>
      <c r="B4" s="30"/>
      <c r="C4" s="30"/>
      <c r="D4" s="30"/>
      <c r="E4" s="30"/>
      <c r="F4" s="30"/>
      <c r="G4" s="30"/>
    </row>
    <row r="6" spans="1:7" ht="24" customHeight="1" thickBot="1" x14ac:dyDescent="0.25">
      <c r="A6" s="35" t="s">
        <v>4</v>
      </c>
      <c r="B6" s="35"/>
      <c r="C6" s="35"/>
      <c r="E6" s="36" t="s">
        <v>5</v>
      </c>
      <c r="F6" s="36"/>
      <c r="G6" s="36"/>
    </row>
    <row r="7" spans="1:7" ht="21.75" customHeight="1" x14ac:dyDescent="0.2">
      <c r="A7" s="27" t="s">
        <v>6</v>
      </c>
      <c r="B7" s="28"/>
      <c r="C7" s="22">
        <v>10000</v>
      </c>
      <c r="E7" s="29" t="s">
        <v>7</v>
      </c>
      <c r="F7" s="29"/>
      <c r="G7" s="1">
        <f>IFERROR(IF(C7*(C8/12)&gt;=C9,"⚠ Paiement insuffisant",CEILING(NPER(C8/12,-C9,C7),1)),"?")</f>
        <v>21</v>
      </c>
    </row>
    <row r="8" spans="1:7" ht="21.75" customHeight="1" x14ac:dyDescent="0.2">
      <c r="A8" s="27" t="s">
        <v>8</v>
      </c>
      <c r="B8" s="28"/>
      <c r="C8" s="23">
        <v>0.05</v>
      </c>
      <c r="E8" s="29" t="s">
        <v>9</v>
      </c>
      <c r="F8" s="29"/>
      <c r="G8" s="2">
        <f>IFERROR(IF(C7*(C8/12)&gt;=C9,"",EDATE(C10,CEILING(NPER(C8/12,-C9,C7),1))),"?")</f>
        <v>46784</v>
      </c>
    </row>
    <row r="9" spans="1:7" ht="21.75" customHeight="1" x14ac:dyDescent="0.2">
      <c r="A9" s="27" t="s">
        <v>10</v>
      </c>
      <c r="B9" s="28"/>
      <c r="C9" s="24">
        <v>500</v>
      </c>
      <c r="E9" s="29" t="s">
        <v>11</v>
      </c>
      <c r="F9" s="29"/>
      <c r="G9" s="3">
        <f>IFERROR(IF(C8=0,0,IF(C7*(C8/12)&gt;=C9,"⚠",-CUMIPMT(C8/12,CEILING(NPER(C8/12,-C9,C7),1),C7,1,CEILING(NPER(C8/12,-C9,C7),1),0))),"?")</f>
        <v>464.6850399118357</v>
      </c>
    </row>
    <row r="10" spans="1:7" ht="21.75" customHeight="1" thickBot="1" x14ac:dyDescent="0.25">
      <c r="A10" s="27" t="s">
        <v>12</v>
      </c>
      <c r="B10" s="28"/>
      <c r="C10" s="25">
        <v>46143</v>
      </c>
      <c r="E10" s="29" t="s">
        <v>13</v>
      </c>
      <c r="F10" s="29"/>
      <c r="G10" s="3">
        <f>IFERROR(IF(C7*(C8/12)&gt;=C9,"⚠",IF(C8=0,C7,C7+G9)),"?")</f>
        <v>10464.685039911836</v>
      </c>
    </row>
    <row r="11" spans="1:7" ht="15" customHeight="1" x14ac:dyDescent="0.2"/>
    <row r="12" spans="1:7" ht="15.75" customHeight="1" x14ac:dyDescent="0.2">
      <c r="A12" s="30" t="s">
        <v>14</v>
      </c>
      <c r="B12" s="30"/>
      <c r="C12" s="30"/>
      <c r="D12" s="30"/>
      <c r="E12" s="30"/>
      <c r="F12" s="30"/>
      <c r="G12" s="30"/>
    </row>
    <row r="14" spans="1:7" ht="25.5" customHeight="1" x14ac:dyDescent="0.2">
      <c r="A14" s="4" t="s">
        <v>15</v>
      </c>
      <c r="B14" s="4"/>
      <c r="C14" s="4"/>
      <c r="D14" s="4"/>
      <c r="E14" s="4"/>
      <c r="F14" s="4"/>
      <c r="G14" s="4"/>
    </row>
    <row r="15" spans="1:7" ht="19.5" customHeight="1" x14ac:dyDescent="0.2">
      <c r="A15" s="5" t="s">
        <v>16</v>
      </c>
      <c r="B15" s="5" t="s">
        <v>17</v>
      </c>
      <c r="C15" s="5" t="s">
        <v>18</v>
      </c>
      <c r="D15" s="5" t="s">
        <v>19</v>
      </c>
      <c r="E15" s="5" t="s">
        <v>20</v>
      </c>
      <c r="F15" s="5" t="s">
        <v>21</v>
      </c>
      <c r="G15" s="5" t="s">
        <v>22</v>
      </c>
    </row>
    <row r="16" spans="1:7" ht="16.5" customHeight="1" x14ac:dyDescent="0.2">
      <c r="A16" s="6">
        <f>IF($C$7&gt;0,1,"")</f>
        <v>1</v>
      </c>
      <c r="B16" s="7">
        <f>IF($C$7&gt;0,EDATE($C$10,1),"")</f>
        <v>46174</v>
      </c>
      <c r="C16" s="8">
        <f>IF($C$7&gt;0,$C$7,"")</f>
        <v>10000</v>
      </c>
      <c r="D16" s="9">
        <f>IFERROR(IF($C$7&gt;0,ROUND(C16*$C$8/12,2),""),"")</f>
        <v>41.67</v>
      </c>
      <c r="E16" s="10">
        <f>IFERROR(IF($C$7&gt;0,MAX(0,F16-D16),""),"")</f>
        <v>458.33</v>
      </c>
      <c r="F16" s="11">
        <f>IFERROR(IF($C$7&gt;0,MIN($C$9,C16+D16),""),"")</f>
        <v>500</v>
      </c>
      <c r="G16" s="12">
        <f>IFERROR(IF($C$7&gt;0,MAX(0,C16+D16-F16),""),"")</f>
        <v>9541.67</v>
      </c>
    </row>
    <row r="17" spans="1:7" ht="16.5" customHeight="1" x14ac:dyDescent="0.2">
      <c r="A17" s="13">
        <f>IF(IFERROR(G16&gt;0,FALSE()),2,"")</f>
        <v>2</v>
      </c>
      <c r="B17" s="14">
        <f>IF(IFERROR(G16&gt;0,FALSE()),EDATE($C$10,2),"")</f>
        <v>46204</v>
      </c>
      <c r="C17" s="15">
        <f t="shared" ref="C17:C80" si="0">IF(IFERROR(G16&gt;0,FALSE()),G16,"")</f>
        <v>9541.67</v>
      </c>
      <c r="D17" s="16">
        <f t="shared" ref="D17:D80" si="1">IFERROR(IF(IFERROR(G16&gt;0,FALSE()),ROUND(C17*$C$8/12,2),""),"")</f>
        <v>39.76</v>
      </c>
      <c r="E17" s="17">
        <f t="shared" ref="E17:E80" si="2">IFERROR(IF(IFERROR(G16&gt;0,FALSE()),MAX(0,F17-D17),""),"")</f>
        <v>460.24</v>
      </c>
      <c r="F17" s="18">
        <f t="shared" ref="F17:F80" si="3">IFERROR(IF(IFERROR(G16&gt;0,FALSE()),MIN($C$9,C17+D17),""),"")</f>
        <v>500</v>
      </c>
      <c r="G17" s="19">
        <f t="shared" ref="G17:G80" si="4">IFERROR(IF(IFERROR(G16&gt;0,FALSE()),MAX(0,C17+D17-F17),""),"")</f>
        <v>9081.43</v>
      </c>
    </row>
    <row r="18" spans="1:7" ht="16.5" customHeight="1" x14ac:dyDescent="0.2">
      <c r="A18" s="6">
        <f>IF(IFERROR(G17&gt;0,FALSE()),3,"")</f>
        <v>3</v>
      </c>
      <c r="B18" s="7">
        <f>IF(IFERROR(G17&gt;0,FALSE()),EDATE($C$10,3),"")</f>
        <v>46235</v>
      </c>
      <c r="C18" s="8">
        <f t="shared" si="0"/>
        <v>9081.43</v>
      </c>
      <c r="D18" s="9">
        <f t="shared" si="1"/>
        <v>37.840000000000003</v>
      </c>
      <c r="E18" s="10">
        <f t="shared" si="2"/>
        <v>462.15999999999997</v>
      </c>
      <c r="F18" s="11">
        <f t="shared" si="3"/>
        <v>500</v>
      </c>
      <c r="G18" s="12">
        <f t="shared" si="4"/>
        <v>8619.27</v>
      </c>
    </row>
    <row r="19" spans="1:7" ht="16.5" customHeight="1" x14ac:dyDescent="0.2">
      <c r="A19" s="13">
        <f>IF(IFERROR(G18&gt;0,FALSE()),4,"")</f>
        <v>4</v>
      </c>
      <c r="B19" s="14">
        <f>IF(IFERROR(G18&gt;0,FALSE()),EDATE($C$10,4),"")</f>
        <v>46266</v>
      </c>
      <c r="C19" s="15">
        <f t="shared" si="0"/>
        <v>8619.27</v>
      </c>
      <c r="D19" s="16">
        <f t="shared" si="1"/>
        <v>35.909999999999997</v>
      </c>
      <c r="E19" s="17">
        <f t="shared" si="2"/>
        <v>464.09000000000003</v>
      </c>
      <c r="F19" s="18">
        <f t="shared" si="3"/>
        <v>500</v>
      </c>
      <c r="G19" s="19">
        <f t="shared" si="4"/>
        <v>8155.18</v>
      </c>
    </row>
    <row r="20" spans="1:7" ht="16.5" customHeight="1" x14ac:dyDescent="0.2">
      <c r="A20" s="6">
        <f>IF(IFERROR(G19&gt;0,FALSE()),5,"")</f>
        <v>5</v>
      </c>
      <c r="B20" s="7">
        <f>IF(IFERROR(G19&gt;0,FALSE()),EDATE($C$10,5),"")</f>
        <v>46296</v>
      </c>
      <c r="C20" s="8">
        <f t="shared" si="0"/>
        <v>8155.18</v>
      </c>
      <c r="D20" s="9">
        <f t="shared" si="1"/>
        <v>33.979999999999997</v>
      </c>
      <c r="E20" s="10">
        <f t="shared" si="2"/>
        <v>466.02</v>
      </c>
      <c r="F20" s="11">
        <f t="shared" si="3"/>
        <v>500</v>
      </c>
      <c r="G20" s="12">
        <f t="shared" si="4"/>
        <v>7689.16</v>
      </c>
    </row>
    <row r="21" spans="1:7" ht="16.5" customHeight="1" x14ac:dyDescent="0.2">
      <c r="A21" s="13">
        <f>IF(IFERROR(G20&gt;0,FALSE()),6,"")</f>
        <v>6</v>
      </c>
      <c r="B21" s="14">
        <f>IF(IFERROR(G20&gt;0,FALSE()),EDATE($C$10,6),"")</f>
        <v>46327</v>
      </c>
      <c r="C21" s="15">
        <f t="shared" si="0"/>
        <v>7689.16</v>
      </c>
      <c r="D21" s="16">
        <f t="shared" si="1"/>
        <v>32.04</v>
      </c>
      <c r="E21" s="17">
        <f t="shared" si="2"/>
        <v>467.96</v>
      </c>
      <c r="F21" s="18">
        <f t="shared" si="3"/>
        <v>500</v>
      </c>
      <c r="G21" s="19">
        <f t="shared" si="4"/>
        <v>7221.2</v>
      </c>
    </row>
    <row r="22" spans="1:7" ht="16.5" customHeight="1" x14ac:dyDescent="0.2">
      <c r="A22" s="6">
        <f>IF(IFERROR(G21&gt;0,FALSE()),7,"")</f>
        <v>7</v>
      </c>
      <c r="B22" s="7">
        <f>IF(IFERROR(G21&gt;0,FALSE()),EDATE($C$10,7),"")</f>
        <v>46357</v>
      </c>
      <c r="C22" s="8">
        <f t="shared" si="0"/>
        <v>7221.2</v>
      </c>
      <c r="D22" s="9">
        <f t="shared" si="1"/>
        <v>30.09</v>
      </c>
      <c r="E22" s="10">
        <f t="shared" si="2"/>
        <v>469.91</v>
      </c>
      <c r="F22" s="11">
        <f t="shared" si="3"/>
        <v>500</v>
      </c>
      <c r="G22" s="12">
        <f t="shared" si="4"/>
        <v>6751.29</v>
      </c>
    </row>
    <row r="23" spans="1:7" ht="16.5" customHeight="1" x14ac:dyDescent="0.2">
      <c r="A23" s="13">
        <f>IF(IFERROR(G22&gt;0,FALSE()),8,"")</f>
        <v>8</v>
      </c>
      <c r="B23" s="14">
        <f>IF(IFERROR(G22&gt;0,FALSE()),EDATE($C$10,8),"")</f>
        <v>46388</v>
      </c>
      <c r="C23" s="15">
        <f t="shared" si="0"/>
        <v>6751.29</v>
      </c>
      <c r="D23" s="16">
        <f t="shared" si="1"/>
        <v>28.13</v>
      </c>
      <c r="E23" s="17">
        <f t="shared" si="2"/>
        <v>471.87</v>
      </c>
      <c r="F23" s="18">
        <f t="shared" si="3"/>
        <v>500</v>
      </c>
      <c r="G23" s="19">
        <f t="shared" si="4"/>
        <v>6279.42</v>
      </c>
    </row>
    <row r="24" spans="1:7" ht="16.5" customHeight="1" x14ac:dyDescent="0.2">
      <c r="A24" s="6">
        <f>IF(IFERROR(G23&gt;0,FALSE()),9,"")</f>
        <v>9</v>
      </c>
      <c r="B24" s="7">
        <f>IF(IFERROR(G23&gt;0,FALSE()),EDATE($C$10,9),"")</f>
        <v>46419</v>
      </c>
      <c r="C24" s="8">
        <f t="shared" si="0"/>
        <v>6279.42</v>
      </c>
      <c r="D24" s="9">
        <f t="shared" si="1"/>
        <v>26.16</v>
      </c>
      <c r="E24" s="10">
        <f t="shared" si="2"/>
        <v>473.84</v>
      </c>
      <c r="F24" s="11">
        <f t="shared" si="3"/>
        <v>500</v>
      </c>
      <c r="G24" s="12">
        <f t="shared" si="4"/>
        <v>5805.58</v>
      </c>
    </row>
    <row r="25" spans="1:7" ht="16.5" customHeight="1" x14ac:dyDescent="0.2">
      <c r="A25" s="13">
        <f>IF(IFERROR(G24&gt;0,FALSE()),10,"")</f>
        <v>10</v>
      </c>
      <c r="B25" s="14">
        <f>IF(IFERROR(G24&gt;0,FALSE()),EDATE($C$10,10),"")</f>
        <v>46447</v>
      </c>
      <c r="C25" s="15">
        <f t="shared" si="0"/>
        <v>5805.58</v>
      </c>
      <c r="D25" s="16">
        <f t="shared" si="1"/>
        <v>24.19</v>
      </c>
      <c r="E25" s="17">
        <f t="shared" si="2"/>
        <v>475.81</v>
      </c>
      <c r="F25" s="18">
        <f t="shared" si="3"/>
        <v>500</v>
      </c>
      <c r="G25" s="19">
        <f t="shared" si="4"/>
        <v>5329.7699999999995</v>
      </c>
    </row>
    <row r="26" spans="1:7" ht="16.5" customHeight="1" x14ac:dyDescent="0.2">
      <c r="A26" s="6">
        <f>IF(IFERROR(G25&gt;0,FALSE()),11,"")</f>
        <v>11</v>
      </c>
      <c r="B26" s="7">
        <f>IF(IFERROR(G25&gt;0,FALSE()),EDATE($C$10,11),"")</f>
        <v>46478</v>
      </c>
      <c r="C26" s="8">
        <f t="shared" si="0"/>
        <v>5329.7699999999995</v>
      </c>
      <c r="D26" s="9">
        <f t="shared" si="1"/>
        <v>22.21</v>
      </c>
      <c r="E26" s="10">
        <f t="shared" si="2"/>
        <v>477.79</v>
      </c>
      <c r="F26" s="11">
        <f t="shared" si="3"/>
        <v>500</v>
      </c>
      <c r="G26" s="12">
        <f t="shared" si="4"/>
        <v>4851.9799999999996</v>
      </c>
    </row>
    <row r="27" spans="1:7" ht="16.5" customHeight="1" x14ac:dyDescent="0.2">
      <c r="A27" s="13">
        <f>IF(IFERROR(G26&gt;0,FALSE()),12,"")</f>
        <v>12</v>
      </c>
      <c r="B27" s="14">
        <f>IF(IFERROR(G26&gt;0,FALSE()),EDATE($C$10,12),"")</f>
        <v>46508</v>
      </c>
      <c r="C27" s="15">
        <f t="shared" si="0"/>
        <v>4851.9799999999996</v>
      </c>
      <c r="D27" s="16">
        <f t="shared" si="1"/>
        <v>20.22</v>
      </c>
      <c r="E27" s="17">
        <f t="shared" si="2"/>
        <v>479.78</v>
      </c>
      <c r="F27" s="18">
        <f t="shared" si="3"/>
        <v>500</v>
      </c>
      <c r="G27" s="19">
        <f t="shared" si="4"/>
        <v>4372.2</v>
      </c>
    </row>
    <row r="28" spans="1:7" ht="16.5" customHeight="1" x14ac:dyDescent="0.2">
      <c r="A28" s="6">
        <f>IF(IFERROR(G27&gt;0,FALSE()),13,"")</f>
        <v>13</v>
      </c>
      <c r="B28" s="7">
        <f>IF(IFERROR(G27&gt;0,FALSE()),EDATE($C$10,13),"")</f>
        <v>46539</v>
      </c>
      <c r="C28" s="8">
        <f t="shared" si="0"/>
        <v>4372.2</v>
      </c>
      <c r="D28" s="9">
        <f t="shared" si="1"/>
        <v>18.22</v>
      </c>
      <c r="E28" s="10">
        <f t="shared" si="2"/>
        <v>481.78</v>
      </c>
      <c r="F28" s="11">
        <f t="shared" si="3"/>
        <v>500</v>
      </c>
      <c r="G28" s="12">
        <f t="shared" si="4"/>
        <v>3890.42</v>
      </c>
    </row>
    <row r="29" spans="1:7" ht="16.5" customHeight="1" x14ac:dyDescent="0.2">
      <c r="A29" s="13">
        <f>IF(IFERROR(G28&gt;0,FALSE()),14,"")</f>
        <v>14</v>
      </c>
      <c r="B29" s="14">
        <f>IF(IFERROR(G28&gt;0,FALSE()),EDATE($C$10,14),"")</f>
        <v>46569</v>
      </c>
      <c r="C29" s="15">
        <f t="shared" si="0"/>
        <v>3890.42</v>
      </c>
      <c r="D29" s="16">
        <f t="shared" si="1"/>
        <v>16.21</v>
      </c>
      <c r="E29" s="17">
        <f t="shared" si="2"/>
        <v>483.79</v>
      </c>
      <c r="F29" s="18">
        <f t="shared" si="3"/>
        <v>500</v>
      </c>
      <c r="G29" s="19">
        <f t="shared" si="4"/>
        <v>3406.63</v>
      </c>
    </row>
    <row r="30" spans="1:7" ht="16.5" customHeight="1" x14ac:dyDescent="0.2">
      <c r="A30" s="6">
        <f>IF(IFERROR(G29&gt;0,FALSE()),15,"")</f>
        <v>15</v>
      </c>
      <c r="B30" s="7">
        <f>IF(IFERROR(G29&gt;0,FALSE()),EDATE($C$10,15),"")</f>
        <v>46600</v>
      </c>
      <c r="C30" s="8">
        <f t="shared" si="0"/>
        <v>3406.63</v>
      </c>
      <c r="D30" s="9">
        <f t="shared" si="1"/>
        <v>14.19</v>
      </c>
      <c r="E30" s="10">
        <f t="shared" si="2"/>
        <v>485.81</v>
      </c>
      <c r="F30" s="11">
        <f t="shared" si="3"/>
        <v>500</v>
      </c>
      <c r="G30" s="12">
        <f t="shared" si="4"/>
        <v>2920.82</v>
      </c>
    </row>
    <row r="31" spans="1:7" ht="16.5" customHeight="1" x14ac:dyDescent="0.2">
      <c r="A31" s="13">
        <f>IF(IFERROR(G30&gt;0,FALSE()),16,"")</f>
        <v>16</v>
      </c>
      <c r="B31" s="14">
        <f>IF(IFERROR(G30&gt;0,FALSE()),EDATE($C$10,16),"")</f>
        <v>46631</v>
      </c>
      <c r="C31" s="15">
        <f t="shared" si="0"/>
        <v>2920.82</v>
      </c>
      <c r="D31" s="16">
        <f t="shared" si="1"/>
        <v>12.17</v>
      </c>
      <c r="E31" s="17">
        <f t="shared" si="2"/>
        <v>487.83</v>
      </c>
      <c r="F31" s="18">
        <f t="shared" si="3"/>
        <v>500</v>
      </c>
      <c r="G31" s="19">
        <f t="shared" si="4"/>
        <v>2432.9900000000002</v>
      </c>
    </row>
    <row r="32" spans="1:7" ht="16.5" customHeight="1" x14ac:dyDescent="0.2">
      <c r="A32" s="6">
        <f>IF(IFERROR(G31&gt;0,FALSE()),17,"")</f>
        <v>17</v>
      </c>
      <c r="B32" s="7">
        <f>IF(IFERROR(G31&gt;0,FALSE()),EDATE($C$10,17),"")</f>
        <v>46661</v>
      </c>
      <c r="C32" s="8">
        <f t="shared" si="0"/>
        <v>2432.9900000000002</v>
      </c>
      <c r="D32" s="9">
        <f t="shared" si="1"/>
        <v>10.14</v>
      </c>
      <c r="E32" s="10">
        <f t="shared" si="2"/>
        <v>489.86</v>
      </c>
      <c r="F32" s="11">
        <f t="shared" si="3"/>
        <v>500</v>
      </c>
      <c r="G32" s="12">
        <f t="shared" si="4"/>
        <v>1943.13</v>
      </c>
    </row>
    <row r="33" spans="1:7" ht="16.5" customHeight="1" x14ac:dyDescent="0.2">
      <c r="A33" s="13">
        <f>IF(IFERROR(G32&gt;0,FALSE()),18,"")</f>
        <v>18</v>
      </c>
      <c r="B33" s="14">
        <f>IF(IFERROR(G32&gt;0,FALSE()),EDATE($C$10,18),"")</f>
        <v>46692</v>
      </c>
      <c r="C33" s="15">
        <f t="shared" si="0"/>
        <v>1943.13</v>
      </c>
      <c r="D33" s="16">
        <f t="shared" si="1"/>
        <v>8.1</v>
      </c>
      <c r="E33" s="17">
        <f t="shared" si="2"/>
        <v>491.9</v>
      </c>
      <c r="F33" s="18">
        <f t="shared" si="3"/>
        <v>500</v>
      </c>
      <c r="G33" s="19">
        <f t="shared" si="4"/>
        <v>1451.23</v>
      </c>
    </row>
    <row r="34" spans="1:7" ht="16.5" customHeight="1" x14ac:dyDescent="0.2">
      <c r="A34" s="6">
        <f>IF(IFERROR(G33&gt;0,FALSE()),19,"")</f>
        <v>19</v>
      </c>
      <c r="B34" s="7">
        <f>IF(IFERROR(G33&gt;0,FALSE()),EDATE($C$10,19),"")</f>
        <v>46722</v>
      </c>
      <c r="C34" s="8">
        <f t="shared" si="0"/>
        <v>1451.23</v>
      </c>
      <c r="D34" s="9">
        <f t="shared" si="1"/>
        <v>6.05</v>
      </c>
      <c r="E34" s="10">
        <f t="shared" si="2"/>
        <v>493.95</v>
      </c>
      <c r="F34" s="11">
        <f t="shared" si="3"/>
        <v>500</v>
      </c>
      <c r="G34" s="12">
        <f t="shared" si="4"/>
        <v>957.28</v>
      </c>
    </row>
    <row r="35" spans="1:7" ht="16.5" customHeight="1" x14ac:dyDescent="0.2">
      <c r="A35" s="13">
        <f>IF(IFERROR(G34&gt;0,FALSE()),20,"")</f>
        <v>20</v>
      </c>
      <c r="B35" s="14">
        <f>IF(IFERROR(G34&gt;0,FALSE()),EDATE($C$10,20),"")</f>
        <v>46753</v>
      </c>
      <c r="C35" s="15">
        <f t="shared" si="0"/>
        <v>957.28</v>
      </c>
      <c r="D35" s="16">
        <f t="shared" si="1"/>
        <v>3.99</v>
      </c>
      <c r="E35" s="17">
        <f t="shared" si="2"/>
        <v>496.01</v>
      </c>
      <c r="F35" s="18">
        <f t="shared" si="3"/>
        <v>500</v>
      </c>
      <c r="G35" s="19">
        <f t="shared" si="4"/>
        <v>461.27</v>
      </c>
    </row>
    <row r="36" spans="1:7" ht="16.5" customHeight="1" x14ac:dyDescent="0.2">
      <c r="A36" s="6">
        <f>IF(IFERROR(G35&gt;0,FALSE()),21,"")</f>
        <v>21</v>
      </c>
      <c r="B36" s="7">
        <f>IF(IFERROR(G35&gt;0,FALSE()),EDATE($C$10,21),"")</f>
        <v>46784</v>
      </c>
      <c r="C36" s="8">
        <f t="shared" si="0"/>
        <v>461.27</v>
      </c>
      <c r="D36" s="9">
        <f t="shared" si="1"/>
        <v>1.92</v>
      </c>
      <c r="E36" s="10">
        <f t="shared" si="2"/>
        <v>461.27</v>
      </c>
      <c r="F36" s="11">
        <f t="shared" si="3"/>
        <v>463.19</v>
      </c>
      <c r="G36" s="12">
        <f t="shared" si="4"/>
        <v>0</v>
      </c>
    </row>
    <row r="37" spans="1:7" ht="16.5" customHeight="1" x14ac:dyDescent="0.2">
      <c r="A37" s="13" t="str">
        <f>IF(IFERROR(G36&gt;0,FALSE()),22,"")</f>
        <v/>
      </c>
      <c r="B37" s="14" t="str">
        <f>IF(IFERROR(G36&gt;0,FALSE()),EDATE($C$10,22),"")</f>
        <v/>
      </c>
      <c r="C37" s="15" t="str">
        <f t="shared" si="0"/>
        <v/>
      </c>
      <c r="D37" s="16" t="str">
        <f t="shared" si="1"/>
        <v/>
      </c>
      <c r="E37" s="17" t="str">
        <f t="shared" si="2"/>
        <v/>
      </c>
      <c r="F37" s="18" t="str">
        <f t="shared" si="3"/>
        <v/>
      </c>
      <c r="G37" s="19" t="str">
        <f t="shared" si="4"/>
        <v/>
      </c>
    </row>
    <row r="38" spans="1:7" ht="16.5" customHeight="1" x14ac:dyDescent="0.2">
      <c r="A38" s="6">
        <f>IF(IFERROR(G37&gt;0,FALSE()),23,"")</f>
        <v>23</v>
      </c>
      <c r="B38" s="7">
        <f>IF(IFERROR(G37&gt;0,FALSE()),EDATE($C$10,23),"")</f>
        <v>46844</v>
      </c>
      <c r="C38" s="8" t="str">
        <f t="shared" si="0"/>
        <v/>
      </c>
      <c r="D38" s="9" t="str">
        <f t="shared" si="1"/>
        <v/>
      </c>
      <c r="E38" s="10" t="str">
        <f t="shared" si="2"/>
        <v/>
      </c>
      <c r="F38" s="11" t="str">
        <f t="shared" si="3"/>
        <v/>
      </c>
      <c r="G38" s="12" t="str">
        <f t="shared" si="4"/>
        <v/>
      </c>
    </row>
    <row r="39" spans="1:7" ht="16.5" customHeight="1" x14ac:dyDescent="0.2">
      <c r="A39" s="13">
        <f>IF(IFERROR(G38&gt;0,FALSE()),24,"")</f>
        <v>24</v>
      </c>
      <c r="B39" s="14">
        <f>IF(IFERROR(G38&gt;0,FALSE()),EDATE($C$10,24),"")</f>
        <v>46874</v>
      </c>
      <c r="C39" s="15" t="str">
        <f t="shared" si="0"/>
        <v/>
      </c>
      <c r="D39" s="16" t="str">
        <f t="shared" si="1"/>
        <v/>
      </c>
      <c r="E39" s="17" t="str">
        <f t="shared" si="2"/>
        <v/>
      </c>
      <c r="F39" s="18" t="str">
        <f t="shared" si="3"/>
        <v/>
      </c>
      <c r="G39" s="19" t="str">
        <f t="shared" si="4"/>
        <v/>
      </c>
    </row>
    <row r="40" spans="1:7" ht="16.5" customHeight="1" x14ac:dyDescent="0.2">
      <c r="A40" s="6">
        <f>IF(IFERROR(G39&gt;0,FALSE()),25,"")</f>
        <v>25</v>
      </c>
      <c r="B40" s="7">
        <f>IF(IFERROR(G39&gt;0,FALSE()),EDATE($C$10,25),"")</f>
        <v>46905</v>
      </c>
      <c r="C40" s="8" t="str">
        <f t="shared" si="0"/>
        <v/>
      </c>
      <c r="D40" s="9" t="str">
        <f t="shared" si="1"/>
        <v/>
      </c>
      <c r="E40" s="10" t="str">
        <f t="shared" si="2"/>
        <v/>
      </c>
      <c r="F40" s="11" t="str">
        <f t="shared" si="3"/>
        <v/>
      </c>
      <c r="G40" s="12" t="str">
        <f t="shared" si="4"/>
        <v/>
      </c>
    </row>
    <row r="41" spans="1:7" ht="16.5" customHeight="1" x14ac:dyDescent="0.2">
      <c r="A41" s="13">
        <f>IF(IFERROR(G40&gt;0,FALSE()),26,"")</f>
        <v>26</v>
      </c>
      <c r="B41" s="14">
        <f>IF(IFERROR(G40&gt;0,FALSE()),EDATE($C$10,26),"")</f>
        <v>46935</v>
      </c>
      <c r="C41" s="15" t="str">
        <f t="shared" si="0"/>
        <v/>
      </c>
      <c r="D41" s="16" t="str">
        <f t="shared" si="1"/>
        <v/>
      </c>
      <c r="E41" s="17" t="str">
        <f t="shared" si="2"/>
        <v/>
      </c>
      <c r="F41" s="18" t="str">
        <f t="shared" si="3"/>
        <v/>
      </c>
      <c r="G41" s="19" t="str">
        <f t="shared" si="4"/>
        <v/>
      </c>
    </row>
    <row r="42" spans="1:7" ht="16.5" customHeight="1" x14ac:dyDescent="0.2">
      <c r="A42" s="6">
        <f>IF(IFERROR(G41&gt;0,FALSE()),27,"")</f>
        <v>27</v>
      </c>
      <c r="B42" s="7">
        <f>IF(IFERROR(G41&gt;0,FALSE()),EDATE($C$10,27),"")</f>
        <v>46966</v>
      </c>
      <c r="C42" s="8" t="str">
        <f t="shared" si="0"/>
        <v/>
      </c>
      <c r="D42" s="9" t="str">
        <f t="shared" si="1"/>
        <v/>
      </c>
      <c r="E42" s="10" t="str">
        <f t="shared" si="2"/>
        <v/>
      </c>
      <c r="F42" s="11" t="str">
        <f t="shared" si="3"/>
        <v/>
      </c>
      <c r="G42" s="12" t="str">
        <f t="shared" si="4"/>
        <v/>
      </c>
    </row>
    <row r="43" spans="1:7" ht="16.5" customHeight="1" x14ac:dyDescent="0.2">
      <c r="A43" s="13">
        <f>IF(IFERROR(G42&gt;0,FALSE()),28,"")</f>
        <v>28</v>
      </c>
      <c r="B43" s="14">
        <f>IF(IFERROR(G42&gt;0,FALSE()),EDATE($C$10,28),"")</f>
        <v>46997</v>
      </c>
      <c r="C43" s="15" t="str">
        <f t="shared" si="0"/>
        <v/>
      </c>
      <c r="D43" s="16" t="str">
        <f t="shared" si="1"/>
        <v/>
      </c>
      <c r="E43" s="17" t="str">
        <f t="shared" si="2"/>
        <v/>
      </c>
      <c r="F43" s="18" t="str">
        <f t="shared" si="3"/>
        <v/>
      </c>
      <c r="G43" s="19" t="str">
        <f t="shared" si="4"/>
        <v/>
      </c>
    </row>
    <row r="44" spans="1:7" ht="16.5" customHeight="1" x14ac:dyDescent="0.2">
      <c r="A44" s="6">
        <f>IF(IFERROR(G43&gt;0,FALSE()),29,"")</f>
        <v>29</v>
      </c>
      <c r="B44" s="7">
        <f>IF(IFERROR(G43&gt;0,FALSE()),EDATE($C$10,29),"")</f>
        <v>47027</v>
      </c>
      <c r="C44" s="8" t="str">
        <f t="shared" si="0"/>
        <v/>
      </c>
      <c r="D44" s="9" t="str">
        <f t="shared" si="1"/>
        <v/>
      </c>
      <c r="E44" s="10" t="str">
        <f t="shared" si="2"/>
        <v/>
      </c>
      <c r="F44" s="11" t="str">
        <f t="shared" si="3"/>
        <v/>
      </c>
      <c r="G44" s="12" t="str">
        <f t="shared" si="4"/>
        <v/>
      </c>
    </row>
    <row r="45" spans="1:7" ht="16.5" customHeight="1" x14ac:dyDescent="0.2">
      <c r="A45" s="13">
        <f>IF(IFERROR(G44&gt;0,FALSE()),30,"")</f>
        <v>30</v>
      </c>
      <c r="B45" s="14">
        <f>IF(IFERROR(G44&gt;0,FALSE()),EDATE($C$10,30),"")</f>
        <v>47058</v>
      </c>
      <c r="C45" s="15" t="str">
        <f t="shared" si="0"/>
        <v/>
      </c>
      <c r="D45" s="16" t="str">
        <f t="shared" si="1"/>
        <v/>
      </c>
      <c r="E45" s="17" t="str">
        <f t="shared" si="2"/>
        <v/>
      </c>
      <c r="F45" s="18" t="str">
        <f t="shared" si="3"/>
        <v/>
      </c>
      <c r="G45" s="19" t="str">
        <f t="shared" si="4"/>
        <v/>
      </c>
    </row>
    <row r="46" spans="1:7" ht="16.5" customHeight="1" x14ac:dyDescent="0.2">
      <c r="A46" s="6">
        <f>IF(IFERROR(G45&gt;0,FALSE()),31,"")</f>
        <v>31</v>
      </c>
      <c r="B46" s="7">
        <f>IF(IFERROR(G45&gt;0,FALSE()),EDATE($C$10,31),"")</f>
        <v>47088</v>
      </c>
      <c r="C46" s="8" t="str">
        <f t="shared" si="0"/>
        <v/>
      </c>
      <c r="D46" s="9" t="str">
        <f t="shared" si="1"/>
        <v/>
      </c>
      <c r="E46" s="10" t="str">
        <f t="shared" si="2"/>
        <v/>
      </c>
      <c r="F46" s="11" t="str">
        <f t="shared" si="3"/>
        <v/>
      </c>
      <c r="G46" s="12" t="str">
        <f t="shared" si="4"/>
        <v/>
      </c>
    </row>
    <row r="47" spans="1:7" ht="16.5" customHeight="1" x14ac:dyDescent="0.2">
      <c r="A47" s="13">
        <f>IF(IFERROR(G46&gt;0,FALSE()),32,"")</f>
        <v>32</v>
      </c>
      <c r="B47" s="14">
        <f>IF(IFERROR(G46&gt;0,FALSE()),EDATE($C$10,32),"")</f>
        <v>47119</v>
      </c>
      <c r="C47" s="15" t="str">
        <f t="shared" si="0"/>
        <v/>
      </c>
      <c r="D47" s="16" t="str">
        <f t="shared" si="1"/>
        <v/>
      </c>
      <c r="E47" s="17" t="str">
        <f t="shared" si="2"/>
        <v/>
      </c>
      <c r="F47" s="18" t="str">
        <f t="shared" si="3"/>
        <v/>
      </c>
      <c r="G47" s="19" t="str">
        <f t="shared" si="4"/>
        <v/>
      </c>
    </row>
    <row r="48" spans="1:7" ht="16.5" customHeight="1" x14ac:dyDescent="0.2">
      <c r="A48" s="6">
        <f>IF(IFERROR(G47&gt;0,FALSE()),33,"")</f>
        <v>33</v>
      </c>
      <c r="B48" s="7">
        <f>IF(IFERROR(G47&gt;0,FALSE()),EDATE($C$10,33),"")</f>
        <v>47150</v>
      </c>
      <c r="C48" s="8" t="str">
        <f t="shared" si="0"/>
        <v/>
      </c>
      <c r="D48" s="9" t="str">
        <f t="shared" si="1"/>
        <v/>
      </c>
      <c r="E48" s="10" t="str">
        <f t="shared" si="2"/>
        <v/>
      </c>
      <c r="F48" s="11" t="str">
        <f t="shared" si="3"/>
        <v/>
      </c>
      <c r="G48" s="12" t="str">
        <f t="shared" si="4"/>
        <v/>
      </c>
    </row>
    <row r="49" spans="1:7" ht="16.5" customHeight="1" x14ac:dyDescent="0.2">
      <c r="A49" s="13">
        <f>IF(IFERROR(G48&gt;0,FALSE()),34,"")</f>
        <v>34</v>
      </c>
      <c r="B49" s="14">
        <f>IF(IFERROR(G48&gt;0,FALSE()),EDATE($C$10,34),"")</f>
        <v>47178</v>
      </c>
      <c r="C49" s="15" t="str">
        <f t="shared" si="0"/>
        <v/>
      </c>
      <c r="D49" s="16" t="str">
        <f t="shared" si="1"/>
        <v/>
      </c>
      <c r="E49" s="17" t="str">
        <f t="shared" si="2"/>
        <v/>
      </c>
      <c r="F49" s="18" t="str">
        <f t="shared" si="3"/>
        <v/>
      </c>
      <c r="G49" s="19" t="str">
        <f t="shared" si="4"/>
        <v/>
      </c>
    </row>
    <row r="50" spans="1:7" ht="16.5" customHeight="1" x14ac:dyDescent="0.2">
      <c r="A50" s="6">
        <f>IF(IFERROR(G49&gt;0,FALSE()),35,"")</f>
        <v>35</v>
      </c>
      <c r="B50" s="7">
        <f>IF(IFERROR(G49&gt;0,FALSE()),EDATE($C$10,35),"")</f>
        <v>47209</v>
      </c>
      <c r="C50" s="8" t="str">
        <f t="shared" si="0"/>
        <v/>
      </c>
      <c r="D50" s="9" t="str">
        <f t="shared" si="1"/>
        <v/>
      </c>
      <c r="E50" s="10" t="str">
        <f t="shared" si="2"/>
        <v/>
      </c>
      <c r="F50" s="11" t="str">
        <f t="shared" si="3"/>
        <v/>
      </c>
      <c r="G50" s="12" t="str">
        <f t="shared" si="4"/>
        <v/>
      </c>
    </row>
    <row r="51" spans="1:7" ht="16.5" customHeight="1" x14ac:dyDescent="0.2">
      <c r="A51" s="13">
        <f>IF(IFERROR(G50&gt;0,FALSE()),36,"")</f>
        <v>36</v>
      </c>
      <c r="B51" s="14">
        <f>IF(IFERROR(G50&gt;0,FALSE()),EDATE($C$10,36),"")</f>
        <v>47239</v>
      </c>
      <c r="C51" s="15" t="str">
        <f t="shared" si="0"/>
        <v/>
      </c>
      <c r="D51" s="16" t="str">
        <f t="shared" si="1"/>
        <v/>
      </c>
      <c r="E51" s="17" t="str">
        <f t="shared" si="2"/>
        <v/>
      </c>
      <c r="F51" s="18" t="str">
        <f t="shared" si="3"/>
        <v/>
      </c>
      <c r="G51" s="19" t="str">
        <f t="shared" si="4"/>
        <v/>
      </c>
    </row>
    <row r="52" spans="1:7" ht="16.5" customHeight="1" x14ac:dyDescent="0.2">
      <c r="A52" s="6">
        <f>IF(IFERROR(G51&gt;0,FALSE()),37,"")</f>
        <v>37</v>
      </c>
      <c r="B52" s="7">
        <f>IF(IFERROR(G51&gt;0,FALSE()),EDATE($C$10,37),"")</f>
        <v>47270</v>
      </c>
      <c r="C52" s="8" t="str">
        <f t="shared" si="0"/>
        <v/>
      </c>
      <c r="D52" s="9" t="str">
        <f t="shared" si="1"/>
        <v/>
      </c>
      <c r="E52" s="10" t="str">
        <f t="shared" si="2"/>
        <v/>
      </c>
      <c r="F52" s="11" t="str">
        <f t="shared" si="3"/>
        <v/>
      </c>
      <c r="G52" s="12" t="str">
        <f t="shared" si="4"/>
        <v/>
      </c>
    </row>
    <row r="53" spans="1:7" ht="16.5" customHeight="1" x14ac:dyDescent="0.2">
      <c r="A53" s="13">
        <f>IF(IFERROR(G52&gt;0,FALSE()),38,"")</f>
        <v>38</v>
      </c>
      <c r="B53" s="14">
        <f>IF(IFERROR(G52&gt;0,FALSE()),EDATE($C$10,38),"")</f>
        <v>47300</v>
      </c>
      <c r="C53" s="15" t="str">
        <f t="shared" si="0"/>
        <v/>
      </c>
      <c r="D53" s="16" t="str">
        <f t="shared" si="1"/>
        <v/>
      </c>
      <c r="E53" s="17" t="str">
        <f t="shared" si="2"/>
        <v/>
      </c>
      <c r="F53" s="18" t="str">
        <f t="shared" si="3"/>
        <v/>
      </c>
      <c r="G53" s="19" t="str">
        <f t="shared" si="4"/>
        <v/>
      </c>
    </row>
    <row r="54" spans="1:7" ht="16.5" customHeight="1" x14ac:dyDescent="0.2">
      <c r="A54" s="6">
        <f>IF(IFERROR(G53&gt;0,FALSE()),39,"")</f>
        <v>39</v>
      </c>
      <c r="B54" s="7">
        <f>IF(IFERROR(G53&gt;0,FALSE()),EDATE($C$10,39),"")</f>
        <v>47331</v>
      </c>
      <c r="C54" s="8" t="str">
        <f t="shared" si="0"/>
        <v/>
      </c>
      <c r="D54" s="9" t="str">
        <f t="shared" si="1"/>
        <v/>
      </c>
      <c r="E54" s="10" t="str">
        <f t="shared" si="2"/>
        <v/>
      </c>
      <c r="F54" s="11" t="str">
        <f t="shared" si="3"/>
        <v/>
      </c>
      <c r="G54" s="12" t="str">
        <f t="shared" si="4"/>
        <v/>
      </c>
    </row>
    <row r="55" spans="1:7" ht="16.5" customHeight="1" x14ac:dyDescent="0.2">
      <c r="A55" s="13">
        <f>IF(IFERROR(G54&gt;0,FALSE()),40,"")</f>
        <v>40</v>
      </c>
      <c r="B55" s="14">
        <f>IF(IFERROR(G54&gt;0,FALSE()),EDATE($C$10,40),"")</f>
        <v>47362</v>
      </c>
      <c r="C55" s="15" t="str">
        <f t="shared" si="0"/>
        <v/>
      </c>
      <c r="D55" s="16" t="str">
        <f t="shared" si="1"/>
        <v/>
      </c>
      <c r="E55" s="17" t="str">
        <f t="shared" si="2"/>
        <v/>
      </c>
      <c r="F55" s="18" t="str">
        <f t="shared" si="3"/>
        <v/>
      </c>
      <c r="G55" s="19" t="str">
        <f t="shared" si="4"/>
        <v/>
      </c>
    </row>
    <row r="56" spans="1:7" ht="16.5" customHeight="1" x14ac:dyDescent="0.2">
      <c r="A56" s="6">
        <f>IF(IFERROR(G55&gt;0,FALSE()),41,"")</f>
        <v>41</v>
      </c>
      <c r="B56" s="7">
        <f>IF(IFERROR(G55&gt;0,FALSE()),EDATE($C$10,41),"")</f>
        <v>47392</v>
      </c>
      <c r="C56" s="8" t="str">
        <f t="shared" si="0"/>
        <v/>
      </c>
      <c r="D56" s="9" t="str">
        <f t="shared" si="1"/>
        <v/>
      </c>
      <c r="E56" s="10" t="str">
        <f t="shared" si="2"/>
        <v/>
      </c>
      <c r="F56" s="11" t="str">
        <f t="shared" si="3"/>
        <v/>
      </c>
      <c r="G56" s="12" t="str">
        <f t="shared" si="4"/>
        <v/>
      </c>
    </row>
    <row r="57" spans="1:7" ht="16.5" customHeight="1" x14ac:dyDescent="0.2">
      <c r="A57" s="13">
        <f>IF(IFERROR(G56&gt;0,FALSE()),42,"")</f>
        <v>42</v>
      </c>
      <c r="B57" s="14">
        <f>IF(IFERROR(G56&gt;0,FALSE()),EDATE($C$10,42),"")</f>
        <v>47423</v>
      </c>
      <c r="C57" s="15" t="str">
        <f t="shared" si="0"/>
        <v/>
      </c>
      <c r="D57" s="16" t="str">
        <f t="shared" si="1"/>
        <v/>
      </c>
      <c r="E57" s="17" t="str">
        <f t="shared" si="2"/>
        <v/>
      </c>
      <c r="F57" s="18" t="str">
        <f t="shared" si="3"/>
        <v/>
      </c>
      <c r="G57" s="19" t="str">
        <f t="shared" si="4"/>
        <v/>
      </c>
    </row>
    <row r="58" spans="1:7" ht="16.5" customHeight="1" x14ac:dyDescent="0.2">
      <c r="A58" s="6">
        <f>IF(IFERROR(G57&gt;0,FALSE()),43,"")</f>
        <v>43</v>
      </c>
      <c r="B58" s="7">
        <f>IF(IFERROR(G57&gt;0,FALSE()),EDATE($C$10,43),"")</f>
        <v>47453</v>
      </c>
      <c r="C58" s="8" t="str">
        <f t="shared" si="0"/>
        <v/>
      </c>
      <c r="D58" s="9" t="str">
        <f t="shared" si="1"/>
        <v/>
      </c>
      <c r="E58" s="10" t="str">
        <f t="shared" si="2"/>
        <v/>
      </c>
      <c r="F58" s="11" t="str">
        <f t="shared" si="3"/>
        <v/>
      </c>
      <c r="G58" s="12" t="str">
        <f t="shared" si="4"/>
        <v/>
      </c>
    </row>
    <row r="59" spans="1:7" ht="16.5" customHeight="1" x14ac:dyDescent="0.2">
      <c r="A59" s="13">
        <f>IF(IFERROR(G58&gt;0,FALSE()),44,"")</f>
        <v>44</v>
      </c>
      <c r="B59" s="14">
        <f>IF(IFERROR(G58&gt;0,FALSE()),EDATE($C$10,44),"")</f>
        <v>47484</v>
      </c>
      <c r="C59" s="15" t="str">
        <f t="shared" si="0"/>
        <v/>
      </c>
      <c r="D59" s="16" t="str">
        <f t="shared" si="1"/>
        <v/>
      </c>
      <c r="E59" s="17" t="str">
        <f t="shared" si="2"/>
        <v/>
      </c>
      <c r="F59" s="18" t="str">
        <f t="shared" si="3"/>
        <v/>
      </c>
      <c r="G59" s="19" t="str">
        <f t="shared" si="4"/>
        <v/>
      </c>
    </row>
    <row r="60" spans="1:7" ht="16.5" customHeight="1" x14ac:dyDescent="0.2">
      <c r="A60" s="6">
        <f>IF(IFERROR(G59&gt;0,FALSE()),45,"")</f>
        <v>45</v>
      </c>
      <c r="B60" s="7">
        <f>IF(IFERROR(G59&gt;0,FALSE()),EDATE($C$10,45),"")</f>
        <v>47515</v>
      </c>
      <c r="C60" s="8" t="str">
        <f t="shared" si="0"/>
        <v/>
      </c>
      <c r="D60" s="9" t="str">
        <f t="shared" si="1"/>
        <v/>
      </c>
      <c r="E60" s="10" t="str">
        <f t="shared" si="2"/>
        <v/>
      </c>
      <c r="F60" s="11" t="str">
        <f t="shared" si="3"/>
        <v/>
      </c>
      <c r="G60" s="12" t="str">
        <f t="shared" si="4"/>
        <v/>
      </c>
    </row>
    <row r="61" spans="1:7" ht="16.5" customHeight="1" x14ac:dyDescent="0.2">
      <c r="A61" s="13">
        <f>IF(IFERROR(G60&gt;0,FALSE()),46,"")</f>
        <v>46</v>
      </c>
      <c r="B61" s="14">
        <f>IF(IFERROR(G60&gt;0,FALSE()),EDATE($C$10,46),"")</f>
        <v>47543</v>
      </c>
      <c r="C61" s="15" t="str">
        <f t="shared" si="0"/>
        <v/>
      </c>
      <c r="D61" s="16" t="str">
        <f t="shared" si="1"/>
        <v/>
      </c>
      <c r="E61" s="17" t="str">
        <f t="shared" si="2"/>
        <v/>
      </c>
      <c r="F61" s="18" t="str">
        <f t="shared" si="3"/>
        <v/>
      </c>
      <c r="G61" s="19" t="str">
        <f t="shared" si="4"/>
        <v/>
      </c>
    </row>
    <row r="62" spans="1:7" ht="16.5" customHeight="1" x14ac:dyDescent="0.2">
      <c r="A62" s="6">
        <f>IF(IFERROR(G61&gt;0,FALSE()),47,"")</f>
        <v>47</v>
      </c>
      <c r="B62" s="7">
        <f>IF(IFERROR(G61&gt;0,FALSE()),EDATE($C$10,47),"")</f>
        <v>47574</v>
      </c>
      <c r="C62" s="8" t="str">
        <f t="shared" si="0"/>
        <v/>
      </c>
      <c r="D62" s="9" t="str">
        <f t="shared" si="1"/>
        <v/>
      </c>
      <c r="E62" s="10" t="str">
        <f t="shared" si="2"/>
        <v/>
      </c>
      <c r="F62" s="11" t="str">
        <f t="shared" si="3"/>
        <v/>
      </c>
      <c r="G62" s="12" t="str">
        <f t="shared" si="4"/>
        <v/>
      </c>
    </row>
    <row r="63" spans="1:7" ht="16.5" customHeight="1" x14ac:dyDescent="0.2">
      <c r="A63" s="13">
        <f>IF(IFERROR(G62&gt;0,FALSE()),48,"")</f>
        <v>48</v>
      </c>
      <c r="B63" s="14">
        <f>IF(IFERROR(G62&gt;0,FALSE()),EDATE($C$10,48),"")</f>
        <v>47604</v>
      </c>
      <c r="C63" s="15" t="str">
        <f t="shared" si="0"/>
        <v/>
      </c>
      <c r="D63" s="16" t="str">
        <f t="shared" si="1"/>
        <v/>
      </c>
      <c r="E63" s="17" t="str">
        <f t="shared" si="2"/>
        <v/>
      </c>
      <c r="F63" s="18" t="str">
        <f t="shared" si="3"/>
        <v/>
      </c>
      <c r="G63" s="19" t="str">
        <f t="shared" si="4"/>
        <v/>
      </c>
    </row>
    <row r="64" spans="1:7" ht="16.5" customHeight="1" x14ac:dyDescent="0.2">
      <c r="A64" s="6">
        <f>IF(IFERROR(G63&gt;0,FALSE()),49,"")</f>
        <v>49</v>
      </c>
      <c r="B64" s="7">
        <f>IF(IFERROR(G63&gt;0,FALSE()),EDATE($C$10,49),"")</f>
        <v>47635</v>
      </c>
      <c r="C64" s="8" t="str">
        <f t="shared" si="0"/>
        <v/>
      </c>
      <c r="D64" s="9" t="str">
        <f t="shared" si="1"/>
        <v/>
      </c>
      <c r="E64" s="10" t="str">
        <f t="shared" si="2"/>
        <v/>
      </c>
      <c r="F64" s="11" t="str">
        <f t="shared" si="3"/>
        <v/>
      </c>
      <c r="G64" s="12" t="str">
        <f t="shared" si="4"/>
        <v/>
      </c>
    </row>
    <row r="65" spans="1:7" ht="16.5" customHeight="1" x14ac:dyDescent="0.2">
      <c r="A65" s="13">
        <f>IF(IFERROR(G64&gt;0,FALSE()),50,"")</f>
        <v>50</v>
      </c>
      <c r="B65" s="14">
        <f>IF(IFERROR(G64&gt;0,FALSE()),EDATE($C$10,50),"")</f>
        <v>47665</v>
      </c>
      <c r="C65" s="15" t="str">
        <f t="shared" si="0"/>
        <v/>
      </c>
      <c r="D65" s="16" t="str">
        <f t="shared" si="1"/>
        <v/>
      </c>
      <c r="E65" s="17" t="str">
        <f t="shared" si="2"/>
        <v/>
      </c>
      <c r="F65" s="18" t="str">
        <f t="shared" si="3"/>
        <v/>
      </c>
      <c r="G65" s="19" t="str">
        <f t="shared" si="4"/>
        <v/>
      </c>
    </row>
    <row r="66" spans="1:7" ht="16.5" customHeight="1" x14ac:dyDescent="0.2">
      <c r="A66" s="6">
        <f>IF(IFERROR(G65&gt;0,FALSE()),51,"")</f>
        <v>51</v>
      </c>
      <c r="B66" s="7">
        <f>IF(IFERROR(G65&gt;0,FALSE()),EDATE($C$10,51),"")</f>
        <v>47696</v>
      </c>
      <c r="C66" s="8" t="str">
        <f t="shared" si="0"/>
        <v/>
      </c>
      <c r="D66" s="9" t="str">
        <f t="shared" si="1"/>
        <v/>
      </c>
      <c r="E66" s="10" t="str">
        <f t="shared" si="2"/>
        <v/>
      </c>
      <c r="F66" s="11" t="str">
        <f t="shared" si="3"/>
        <v/>
      </c>
      <c r="G66" s="12" t="str">
        <f t="shared" si="4"/>
        <v/>
      </c>
    </row>
    <row r="67" spans="1:7" ht="16.5" customHeight="1" x14ac:dyDescent="0.2">
      <c r="A67" s="13">
        <f>IF(IFERROR(G66&gt;0,FALSE()),52,"")</f>
        <v>52</v>
      </c>
      <c r="B67" s="14">
        <f>IF(IFERROR(G66&gt;0,FALSE()),EDATE($C$10,52),"")</f>
        <v>47727</v>
      </c>
      <c r="C67" s="15" t="str">
        <f t="shared" si="0"/>
        <v/>
      </c>
      <c r="D67" s="16" t="str">
        <f t="shared" si="1"/>
        <v/>
      </c>
      <c r="E67" s="17" t="str">
        <f t="shared" si="2"/>
        <v/>
      </c>
      <c r="F67" s="18" t="str">
        <f t="shared" si="3"/>
        <v/>
      </c>
      <c r="G67" s="19" t="str">
        <f t="shared" si="4"/>
        <v/>
      </c>
    </row>
    <row r="68" spans="1:7" ht="16.5" customHeight="1" x14ac:dyDescent="0.2">
      <c r="A68" s="6">
        <f>IF(IFERROR(G67&gt;0,FALSE()),53,"")</f>
        <v>53</v>
      </c>
      <c r="B68" s="7">
        <f>IF(IFERROR(G67&gt;0,FALSE()),EDATE($C$10,53),"")</f>
        <v>47757</v>
      </c>
      <c r="C68" s="8" t="str">
        <f t="shared" si="0"/>
        <v/>
      </c>
      <c r="D68" s="9" t="str">
        <f t="shared" si="1"/>
        <v/>
      </c>
      <c r="E68" s="10" t="str">
        <f t="shared" si="2"/>
        <v/>
      </c>
      <c r="F68" s="11" t="str">
        <f t="shared" si="3"/>
        <v/>
      </c>
      <c r="G68" s="12" t="str">
        <f t="shared" si="4"/>
        <v/>
      </c>
    </row>
    <row r="69" spans="1:7" ht="16.5" customHeight="1" x14ac:dyDescent="0.2">
      <c r="A69" s="13">
        <f>IF(IFERROR(G68&gt;0,FALSE()),54,"")</f>
        <v>54</v>
      </c>
      <c r="B69" s="14">
        <f>IF(IFERROR(G68&gt;0,FALSE()),EDATE($C$10,54),"")</f>
        <v>47788</v>
      </c>
      <c r="C69" s="15" t="str">
        <f t="shared" si="0"/>
        <v/>
      </c>
      <c r="D69" s="16" t="str">
        <f t="shared" si="1"/>
        <v/>
      </c>
      <c r="E69" s="17" t="str">
        <f t="shared" si="2"/>
        <v/>
      </c>
      <c r="F69" s="18" t="str">
        <f t="shared" si="3"/>
        <v/>
      </c>
      <c r="G69" s="19" t="str">
        <f t="shared" si="4"/>
        <v/>
      </c>
    </row>
    <row r="70" spans="1:7" ht="16.5" customHeight="1" x14ac:dyDescent="0.2">
      <c r="A70" s="6">
        <f>IF(IFERROR(G69&gt;0,FALSE()),55,"")</f>
        <v>55</v>
      </c>
      <c r="B70" s="7">
        <f>IF(IFERROR(G69&gt;0,FALSE()),EDATE($C$10,55),"")</f>
        <v>47818</v>
      </c>
      <c r="C70" s="8" t="str">
        <f t="shared" si="0"/>
        <v/>
      </c>
      <c r="D70" s="9" t="str">
        <f t="shared" si="1"/>
        <v/>
      </c>
      <c r="E70" s="10" t="str">
        <f t="shared" si="2"/>
        <v/>
      </c>
      <c r="F70" s="11" t="str">
        <f t="shared" si="3"/>
        <v/>
      </c>
      <c r="G70" s="12" t="str">
        <f t="shared" si="4"/>
        <v/>
      </c>
    </row>
    <row r="71" spans="1:7" ht="16.5" customHeight="1" x14ac:dyDescent="0.2">
      <c r="A71" s="13">
        <f>IF(IFERROR(G70&gt;0,FALSE()),56,"")</f>
        <v>56</v>
      </c>
      <c r="B71" s="14">
        <f>IF(IFERROR(G70&gt;0,FALSE()),EDATE($C$10,56),"")</f>
        <v>47849</v>
      </c>
      <c r="C71" s="15" t="str">
        <f t="shared" si="0"/>
        <v/>
      </c>
      <c r="D71" s="16" t="str">
        <f t="shared" si="1"/>
        <v/>
      </c>
      <c r="E71" s="17" t="str">
        <f t="shared" si="2"/>
        <v/>
      </c>
      <c r="F71" s="18" t="str">
        <f t="shared" si="3"/>
        <v/>
      </c>
      <c r="G71" s="19" t="str">
        <f t="shared" si="4"/>
        <v/>
      </c>
    </row>
    <row r="72" spans="1:7" ht="16.5" customHeight="1" x14ac:dyDescent="0.2">
      <c r="A72" s="6">
        <f>IF(IFERROR(G71&gt;0,FALSE()),57,"")</f>
        <v>57</v>
      </c>
      <c r="B72" s="7">
        <f>IF(IFERROR(G71&gt;0,FALSE()),EDATE($C$10,57),"")</f>
        <v>47880</v>
      </c>
      <c r="C72" s="8" t="str">
        <f t="shared" si="0"/>
        <v/>
      </c>
      <c r="D72" s="9" t="str">
        <f t="shared" si="1"/>
        <v/>
      </c>
      <c r="E72" s="10" t="str">
        <f t="shared" si="2"/>
        <v/>
      </c>
      <c r="F72" s="11" t="str">
        <f t="shared" si="3"/>
        <v/>
      </c>
      <c r="G72" s="12" t="str">
        <f t="shared" si="4"/>
        <v/>
      </c>
    </row>
    <row r="73" spans="1:7" ht="16.5" customHeight="1" x14ac:dyDescent="0.2">
      <c r="A73" s="13">
        <f>IF(IFERROR(G72&gt;0,FALSE()),58,"")</f>
        <v>58</v>
      </c>
      <c r="B73" s="14">
        <f>IF(IFERROR(G72&gt;0,FALSE()),EDATE($C$10,58),"")</f>
        <v>47908</v>
      </c>
      <c r="C73" s="15" t="str">
        <f t="shared" si="0"/>
        <v/>
      </c>
      <c r="D73" s="16" t="str">
        <f t="shared" si="1"/>
        <v/>
      </c>
      <c r="E73" s="17" t="str">
        <f t="shared" si="2"/>
        <v/>
      </c>
      <c r="F73" s="18" t="str">
        <f t="shared" si="3"/>
        <v/>
      </c>
      <c r="G73" s="19" t="str">
        <f t="shared" si="4"/>
        <v/>
      </c>
    </row>
    <row r="74" spans="1:7" ht="16.5" customHeight="1" x14ac:dyDescent="0.2">
      <c r="A74" s="6">
        <f>IF(IFERROR(G73&gt;0,FALSE()),59,"")</f>
        <v>59</v>
      </c>
      <c r="B74" s="7">
        <f>IF(IFERROR(G73&gt;0,FALSE()),EDATE($C$10,59),"")</f>
        <v>47939</v>
      </c>
      <c r="C74" s="8" t="str">
        <f t="shared" si="0"/>
        <v/>
      </c>
      <c r="D74" s="9" t="str">
        <f t="shared" si="1"/>
        <v/>
      </c>
      <c r="E74" s="10" t="str">
        <f t="shared" si="2"/>
        <v/>
      </c>
      <c r="F74" s="11" t="str">
        <f t="shared" si="3"/>
        <v/>
      </c>
      <c r="G74" s="12" t="str">
        <f t="shared" si="4"/>
        <v/>
      </c>
    </row>
    <row r="75" spans="1:7" ht="16.5" customHeight="1" x14ac:dyDescent="0.2">
      <c r="A75" s="13">
        <f>IF(IFERROR(G74&gt;0,FALSE()),60,"")</f>
        <v>60</v>
      </c>
      <c r="B75" s="14">
        <f>IF(IFERROR(G74&gt;0,FALSE()),EDATE($C$10,60),"")</f>
        <v>47969</v>
      </c>
      <c r="C75" s="15" t="str">
        <f t="shared" si="0"/>
        <v/>
      </c>
      <c r="D75" s="16" t="str">
        <f t="shared" si="1"/>
        <v/>
      </c>
      <c r="E75" s="17" t="str">
        <f t="shared" si="2"/>
        <v/>
      </c>
      <c r="F75" s="18" t="str">
        <f t="shared" si="3"/>
        <v/>
      </c>
      <c r="G75" s="19" t="str">
        <f t="shared" si="4"/>
        <v/>
      </c>
    </row>
    <row r="76" spans="1:7" ht="16.5" customHeight="1" x14ac:dyDescent="0.2">
      <c r="A76" s="6">
        <f>IF(IFERROR(G75&gt;0,FALSE()),61,"")</f>
        <v>61</v>
      </c>
      <c r="B76" s="7">
        <f>IF(IFERROR(G75&gt;0,FALSE()),EDATE($C$10,61),"")</f>
        <v>48000</v>
      </c>
      <c r="C76" s="8" t="str">
        <f t="shared" si="0"/>
        <v/>
      </c>
      <c r="D76" s="9" t="str">
        <f t="shared" si="1"/>
        <v/>
      </c>
      <c r="E76" s="10" t="str">
        <f t="shared" si="2"/>
        <v/>
      </c>
      <c r="F76" s="11" t="str">
        <f t="shared" si="3"/>
        <v/>
      </c>
      <c r="G76" s="12" t="str">
        <f t="shared" si="4"/>
        <v/>
      </c>
    </row>
    <row r="77" spans="1:7" ht="16.5" customHeight="1" x14ac:dyDescent="0.2">
      <c r="A77" s="13">
        <f>IF(IFERROR(G76&gt;0,FALSE()),62,"")</f>
        <v>62</v>
      </c>
      <c r="B77" s="14">
        <f>IF(IFERROR(G76&gt;0,FALSE()),EDATE($C$10,62),"")</f>
        <v>48030</v>
      </c>
      <c r="C77" s="15" t="str">
        <f t="shared" si="0"/>
        <v/>
      </c>
      <c r="D77" s="16" t="str">
        <f t="shared" si="1"/>
        <v/>
      </c>
      <c r="E77" s="17" t="str">
        <f t="shared" si="2"/>
        <v/>
      </c>
      <c r="F77" s="18" t="str">
        <f t="shared" si="3"/>
        <v/>
      </c>
      <c r="G77" s="19" t="str">
        <f t="shared" si="4"/>
        <v/>
      </c>
    </row>
    <row r="78" spans="1:7" ht="16.5" customHeight="1" x14ac:dyDescent="0.2">
      <c r="A78" s="6">
        <f>IF(IFERROR(G77&gt;0,FALSE()),63,"")</f>
        <v>63</v>
      </c>
      <c r="B78" s="7">
        <f>IF(IFERROR(G77&gt;0,FALSE()),EDATE($C$10,63),"")</f>
        <v>48061</v>
      </c>
      <c r="C78" s="8" t="str">
        <f t="shared" si="0"/>
        <v/>
      </c>
      <c r="D78" s="9" t="str">
        <f t="shared" si="1"/>
        <v/>
      </c>
      <c r="E78" s="10" t="str">
        <f t="shared" si="2"/>
        <v/>
      </c>
      <c r="F78" s="11" t="str">
        <f t="shared" si="3"/>
        <v/>
      </c>
      <c r="G78" s="12" t="str">
        <f t="shared" si="4"/>
        <v/>
      </c>
    </row>
    <row r="79" spans="1:7" ht="16.5" customHeight="1" x14ac:dyDescent="0.2">
      <c r="A79" s="13">
        <f>IF(IFERROR(G78&gt;0,FALSE()),64,"")</f>
        <v>64</v>
      </c>
      <c r="B79" s="14">
        <f>IF(IFERROR(G78&gt;0,FALSE()),EDATE($C$10,64),"")</f>
        <v>48092</v>
      </c>
      <c r="C79" s="15" t="str">
        <f t="shared" si="0"/>
        <v/>
      </c>
      <c r="D79" s="16" t="str">
        <f t="shared" si="1"/>
        <v/>
      </c>
      <c r="E79" s="17" t="str">
        <f t="shared" si="2"/>
        <v/>
      </c>
      <c r="F79" s="18" t="str">
        <f t="shared" si="3"/>
        <v/>
      </c>
      <c r="G79" s="19" t="str">
        <f t="shared" si="4"/>
        <v/>
      </c>
    </row>
    <row r="80" spans="1:7" ht="16.5" customHeight="1" x14ac:dyDescent="0.2">
      <c r="A80" s="6">
        <f>IF(IFERROR(G79&gt;0,FALSE()),65,"")</f>
        <v>65</v>
      </c>
      <c r="B80" s="7">
        <f>IF(IFERROR(G79&gt;0,FALSE()),EDATE($C$10,65),"")</f>
        <v>48122</v>
      </c>
      <c r="C80" s="8" t="str">
        <f t="shared" si="0"/>
        <v/>
      </c>
      <c r="D80" s="9" t="str">
        <f t="shared" si="1"/>
        <v/>
      </c>
      <c r="E80" s="10" t="str">
        <f t="shared" si="2"/>
        <v/>
      </c>
      <c r="F80" s="11" t="str">
        <f t="shared" si="3"/>
        <v/>
      </c>
      <c r="G80" s="12" t="str">
        <f t="shared" si="4"/>
        <v/>
      </c>
    </row>
    <row r="81" spans="1:7" ht="16.5" customHeight="1" x14ac:dyDescent="0.2">
      <c r="A81" s="13">
        <f>IF(IFERROR(G80&gt;0,FALSE()),66,"")</f>
        <v>66</v>
      </c>
      <c r="B81" s="14">
        <f>IF(IFERROR(G80&gt;0,FALSE()),EDATE($C$10,66),"")</f>
        <v>48153</v>
      </c>
      <c r="C81" s="15" t="str">
        <f t="shared" ref="C81:C144" si="5">IF(IFERROR(G80&gt;0,FALSE()),G80,"")</f>
        <v/>
      </c>
      <c r="D81" s="16" t="str">
        <f t="shared" ref="D81:D144" si="6">IFERROR(IF(IFERROR(G80&gt;0,FALSE()),ROUND(C81*$C$8/12,2),""),"")</f>
        <v/>
      </c>
      <c r="E81" s="17" t="str">
        <f t="shared" ref="E81:E144" si="7">IFERROR(IF(IFERROR(G80&gt;0,FALSE()),MAX(0,F81-D81),""),"")</f>
        <v/>
      </c>
      <c r="F81" s="18" t="str">
        <f t="shared" ref="F81:F144" si="8">IFERROR(IF(IFERROR(G80&gt;0,FALSE()),MIN($C$9,C81+D81),""),"")</f>
        <v/>
      </c>
      <c r="G81" s="19" t="str">
        <f t="shared" ref="G81:G144" si="9">IFERROR(IF(IFERROR(G80&gt;0,FALSE()),MAX(0,C81+D81-F81),""),"")</f>
        <v/>
      </c>
    </row>
    <row r="82" spans="1:7" ht="16.5" customHeight="1" x14ac:dyDescent="0.2">
      <c r="A82" s="6">
        <f>IF(IFERROR(G81&gt;0,FALSE()),67,"")</f>
        <v>67</v>
      </c>
      <c r="B82" s="7">
        <f>IF(IFERROR(G81&gt;0,FALSE()),EDATE($C$10,67),"")</f>
        <v>48183</v>
      </c>
      <c r="C82" s="8" t="str">
        <f t="shared" si="5"/>
        <v/>
      </c>
      <c r="D82" s="9" t="str">
        <f t="shared" si="6"/>
        <v/>
      </c>
      <c r="E82" s="10" t="str">
        <f t="shared" si="7"/>
        <v/>
      </c>
      <c r="F82" s="11" t="str">
        <f t="shared" si="8"/>
        <v/>
      </c>
      <c r="G82" s="12" t="str">
        <f t="shared" si="9"/>
        <v/>
      </c>
    </row>
    <row r="83" spans="1:7" ht="16.5" customHeight="1" x14ac:dyDescent="0.2">
      <c r="A83" s="13">
        <f>IF(IFERROR(G82&gt;0,FALSE()),68,"")</f>
        <v>68</v>
      </c>
      <c r="B83" s="14">
        <f>IF(IFERROR(G82&gt;0,FALSE()),EDATE($C$10,68),"")</f>
        <v>48214</v>
      </c>
      <c r="C83" s="15" t="str">
        <f t="shared" si="5"/>
        <v/>
      </c>
      <c r="D83" s="16" t="str">
        <f t="shared" si="6"/>
        <v/>
      </c>
      <c r="E83" s="17" t="str">
        <f t="shared" si="7"/>
        <v/>
      </c>
      <c r="F83" s="18" t="str">
        <f t="shared" si="8"/>
        <v/>
      </c>
      <c r="G83" s="19" t="str">
        <f t="shared" si="9"/>
        <v/>
      </c>
    </row>
    <row r="84" spans="1:7" ht="16.5" customHeight="1" x14ac:dyDescent="0.2">
      <c r="A84" s="6">
        <f>IF(IFERROR(G83&gt;0,FALSE()),69,"")</f>
        <v>69</v>
      </c>
      <c r="B84" s="7">
        <f>IF(IFERROR(G83&gt;0,FALSE()),EDATE($C$10,69),"")</f>
        <v>48245</v>
      </c>
      <c r="C84" s="8" t="str">
        <f t="shared" si="5"/>
        <v/>
      </c>
      <c r="D84" s="9" t="str">
        <f t="shared" si="6"/>
        <v/>
      </c>
      <c r="E84" s="10" t="str">
        <f t="shared" si="7"/>
        <v/>
      </c>
      <c r="F84" s="11" t="str">
        <f t="shared" si="8"/>
        <v/>
      </c>
      <c r="G84" s="12" t="str">
        <f t="shared" si="9"/>
        <v/>
      </c>
    </row>
    <row r="85" spans="1:7" ht="16.5" customHeight="1" x14ac:dyDescent="0.2">
      <c r="A85" s="13">
        <f>IF(IFERROR(G84&gt;0,FALSE()),70,"")</f>
        <v>70</v>
      </c>
      <c r="B85" s="14">
        <f>IF(IFERROR(G84&gt;0,FALSE()),EDATE($C$10,70),"")</f>
        <v>48274</v>
      </c>
      <c r="C85" s="15" t="str">
        <f t="shared" si="5"/>
        <v/>
      </c>
      <c r="D85" s="16" t="str">
        <f t="shared" si="6"/>
        <v/>
      </c>
      <c r="E85" s="17" t="str">
        <f t="shared" si="7"/>
        <v/>
      </c>
      <c r="F85" s="18" t="str">
        <f t="shared" si="8"/>
        <v/>
      </c>
      <c r="G85" s="19" t="str">
        <f t="shared" si="9"/>
        <v/>
      </c>
    </row>
    <row r="86" spans="1:7" ht="16.5" customHeight="1" x14ac:dyDescent="0.2">
      <c r="A86" s="6">
        <f>IF(IFERROR(G85&gt;0,FALSE()),71,"")</f>
        <v>71</v>
      </c>
      <c r="B86" s="7">
        <f>IF(IFERROR(G85&gt;0,FALSE()),EDATE($C$10,71),"")</f>
        <v>48305</v>
      </c>
      <c r="C86" s="8" t="str">
        <f t="shared" si="5"/>
        <v/>
      </c>
      <c r="D86" s="9" t="str">
        <f t="shared" si="6"/>
        <v/>
      </c>
      <c r="E86" s="10" t="str">
        <f t="shared" si="7"/>
        <v/>
      </c>
      <c r="F86" s="11" t="str">
        <f t="shared" si="8"/>
        <v/>
      </c>
      <c r="G86" s="12" t="str">
        <f t="shared" si="9"/>
        <v/>
      </c>
    </row>
    <row r="87" spans="1:7" ht="16.5" customHeight="1" x14ac:dyDescent="0.2">
      <c r="A87" s="13">
        <f>IF(IFERROR(G86&gt;0,FALSE()),72,"")</f>
        <v>72</v>
      </c>
      <c r="B87" s="14">
        <f>IF(IFERROR(G86&gt;0,FALSE()),EDATE($C$10,72),"")</f>
        <v>48335</v>
      </c>
      <c r="C87" s="15" t="str">
        <f t="shared" si="5"/>
        <v/>
      </c>
      <c r="D87" s="16" t="str">
        <f t="shared" si="6"/>
        <v/>
      </c>
      <c r="E87" s="17" t="str">
        <f t="shared" si="7"/>
        <v/>
      </c>
      <c r="F87" s="18" t="str">
        <f t="shared" si="8"/>
        <v/>
      </c>
      <c r="G87" s="19" t="str">
        <f t="shared" si="9"/>
        <v/>
      </c>
    </row>
    <row r="88" spans="1:7" ht="16.5" customHeight="1" x14ac:dyDescent="0.2">
      <c r="A88" s="6">
        <f>IF(IFERROR(G87&gt;0,FALSE()),73,"")</f>
        <v>73</v>
      </c>
      <c r="B88" s="7">
        <f>IF(IFERROR(G87&gt;0,FALSE()),EDATE($C$10,73),"")</f>
        <v>48366</v>
      </c>
      <c r="C88" s="8" t="str">
        <f t="shared" si="5"/>
        <v/>
      </c>
      <c r="D88" s="9" t="str">
        <f t="shared" si="6"/>
        <v/>
      </c>
      <c r="E88" s="10" t="str">
        <f t="shared" si="7"/>
        <v/>
      </c>
      <c r="F88" s="11" t="str">
        <f t="shared" si="8"/>
        <v/>
      </c>
      <c r="G88" s="12" t="str">
        <f t="shared" si="9"/>
        <v/>
      </c>
    </row>
    <row r="89" spans="1:7" ht="16.5" customHeight="1" x14ac:dyDescent="0.2">
      <c r="A89" s="13">
        <f>IF(IFERROR(G88&gt;0,FALSE()),74,"")</f>
        <v>74</v>
      </c>
      <c r="B89" s="14">
        <f>IF(IFERROR(G88&gt;0,FALSE()),EDATE($C$10,74),"")</f>
        <v>48396</v>
      </c>
      <c r="C89" s="15" t="str">
        <f t="shared" si="5"/>
        <v/>
      </c>
      <c r="D89" s="16" t="str">
        <f t="shared" si="6"/>
        <v/>
      </c>
      <c r="E89" s="17" t="str">
        <f t="shared" si="7"/>
        <v/>
      </c>
      <c r="F89" s="18" t="str">
        <f t="shared" si="8"/>
        <v/>
      </c>
      <c r="G89" s="19" t="str">
        <f t="shared" si="9"/>
        <v/>
      </c>
    </row>
    <row r="90" spans="1:7" ht="16.5" customHeight="1" x14ac:dyDescent="0.2">
      <c r="A90" s="6">
        <f>IF(IFERROR(G89&gt;0,FALSE()),75,"")</f>
        <v>75</v>
      </c>
      <c r="B90" s="7">
        <f>IF(IFERROR(G89&gt;0,FALSE()),EDATE($C$10,75),"")</f>
        <v>48427</v>
      </c>
      <c r="C90" s="8" t="str">
        <f t="shared" si="5"/>
        <v/>
      </c>
      <c r="D90" s="9" t="str">
        <f t="shared" si="6"/>
        <v/>
      </c>
      <c r="E90" s="10" t="str">
        <f t="shared" si="7"/>
        <v/>
      </c>
      <c r="F90" s="11" t="str">
        <f t="shared" si="8"/>
        <v/>
      </c>
      <c r="G90" s="12" t="str">
        <f t="shared" si="9"/>
        <v/>
      </c>
    </row>
    <row r="91" spans="1:7" ht="16.5" customHeight="1" x14ac:dyDescent="0.2">
      <c r="A91" s="13">
        <f>IF(IFERROR(G90&gt;0,FALSE()),76,"")</f>
        <v>76</v>
      </c>
      <c r="B91" s="14">
        <f>IF(IFERROR(G90&gt;0,FALSE()),EDATE($C$10,76),"")</f>
        <v>48458</v>
      </c>
      <c r="C91" s="15" t="str">
        <f t="shared" si="5"/>
        <v/>
      </c>
      <c r="D91" s="16" t="str">
        <f t="shared" si="6"/>
        <v/>
      </c>
      <c r="E91" s="17" t="str">
        <f t="shared" si="7"/>
        <v/>
      </c>
      <c r="F91" s="18" t="str">
        <f t="shared" si="8"/>
        <v/>
      </c>
      <c r="G91" s="19" t="str">
        <f t="shared" si="9"/>
        <v/>
      </c>
    </row>
    <row r="92" spans="1:7" ht="16.5" customHeight="1" x14ac:dyDescent="0.2">
      <c r="A92" s="6">
        <f>IF(IFERROR(G91&gt;0,FALSE()),77,"")</f>
        <v>77</v>
      </c>
      <c r="B92" s="7">
        <f>IF(IFERROR(G91&gt;0,FALSE()),EDATE($C$10,77),"")</f>
        <v>48488</v>
      </c>
      <c r="C92" s="8" t="str">
        <f t="shared" si="5"/>
        <v/>
      </c>
      <c r="D92" s="9" t="str">
        <f t="shared" si="6"/>
        <v/>
      </c>
      <c r="E92" s="10" t="str">
        <f t="shared" si="7"/>
        <v/>
      </c>
      <c r="F92" s="11" t="str">
        <f t="shared" si="8"/>
        <v/>
      </c>
      <c r="G92" s="12" t="str">
        <f t="shared" si="9"/>
        <v/>
      </c>
    </row>
    <row r="93" spans="1:7" ht="16.5" customHeight="1" x14ac:dyDescent="0.2">
      <c r="A93" s="13">
        <f>IF(IFERROR(G92&gt;0,FALSE()),78,"")</f>
        <v>78</v>
      </c>
      <c r="B93" s="14">
        <f>IF(IFERROR(G92&gt;0,FALSE()),EDATE($C$10,78),"")</f>
        <v>48519</v>
      </c>
      <c r="C93" s="15" t="str">
        <f t="shared" si="5"/>
        <v/>
      </c>
      <c r="D93" s="16" t="str">
        <f t="shared" si="6"/>
        <v/>
      </c>
      <c r="E93" s="17" t="str">
        <f t="shared" si="7"/>
        <v/>
      </c>
      <c r="F93" s="18" t="str">
        <f t="shared" si="8"/>
        <v/>
      </c>
      <c r="G93" s="19" t="str">
        <f t="shared" si="9"/>
        <v/>
      </c>
    </row>
    <row r="94" spans="1:7" ht="16.5" customHeight="1" x14ac:dyDescent="0.2">
      <c r="A94" s="6">
        <f>IF(IFERROR(G93&gt;0,FALSE()),79,"")</f>
        <v>79</v>
      </c>
      <c r="B94" s="7">
        <f>IF(IFERROR(G93&gt;0,FALSE()),EDATE($C$10,79),"")</f>
        <v>48549</v>
      </c>
      <c r="C94" s="8" t="str">
        <f t="shared" si="5"/>
        <v/>
      </c>
      <c r="D94" s="9" t="str">
        <f t="shared" si="6"/>
        <v/>
      </c>
      <c r="E94" s="10" t="str">
        <f t="shared" si="7"/>
        <v/>
      </c>
      <c r="F94" s="11" t="str">
        <f t="shared" si="8"/>
        <v/>
      </c>
      <c r="G94" s="12" t="str">
        <f t="shared" si="9"/>
        <v/>
      </c>
    </row>
    <row r="95" spans="1:7" ht="16.5" customHeight="1" x14ac:dyDescent="0.2">
      <c r="A95" s="13">
        <f>IF(IFERROR(G94&gt;0,FALSE()),80,"")</f>
        <v>80</v>
      </c>
      <c r="B95" s="14">
        <f>IF(IFERROR(G94&gt;0,FALSE()),EDATE($C$10,80),"")</f>
        <v>48580</v>
      </c>
      <c r="C95" s="15" t="str">
        <f t="shared" si="5"/>
        <v/>
      </c>
      <c r="D95" s="16" t="str">
        <f t="shared" si="6"/>
        <v/>
      </c>
      <c r="E95" s="17" t="str">
        <f t="shared" si="7"/>
        <v/>
      </c>
      <c r="F95" s="18" t="str">
        <f t="shared" si="8"/>
        <v/>
      </c>
      <c r="G95" s="19" t="str">
        <f t="shared" si="9"/>
        <v/>
      </c>
    </row>
    <row r="96" spans="1:7" ht="16.5" customHeight="1" x14ac:dyDescent="0.2">
      <c r="A96" s="6">
        <f>IF(IFERROR(G95&gt;0,FALSE()),81,"")</f>
        <v>81</v>
      </c>
      <c r="B96" s="7">
        <f>IF(IFERROR(G95&gt;0,FALSE()),EDATE($C$10,81),"")</f>
        <v>48611</v>
      </c>
      <c r="C96" s="8" t="str">
        <f t="shared" si="5"/>
        <v/>
      </c>
      <c r="D96" s="9" t="str">
        <f t="shared" si="6"/>
        <v/>
      </c>
      <c r="E96" s="10" t="str">
        <f t="shared" si="7"/>
        <v/>
      </c>
      <c r="F96" s="11" t="str">
        <f t="shared" si="8"/>
        <v/>
      </c>
      <c r="G96" s="12" t="str">
        <f t="shared" si="9"/>
        <v/>
      </c>
    </row>
    <row r="97" spans="1:7" ht="16.5" customHeight="1" x14ac:dyDescent="0.2">
      <c r="A97" s="13">
        <f>IF(IFERROR(G96&gt;0,FALSE()),82,"")</f>
        <v>82</v>
      </c>
      <c r="B97" s="14">
        <f>IF(IFERROR(G96&gt;0,FALSE()),EDATE($C$10,82),"")</f>
        <v>48639</v>
      </c>
      <c r="C97" s="15" t="str">
        <f t="shared" si="5"/>
        <v/>
      </c>
      <c r="D97" s="16" t="str">
        <f t="shared" si="6"/>
        <v/>
      </c>
      <c r="E97" s="17" t="str">
        <f t="shared" si="7"/>
        <v/>
      </c>
      <c r="F97" s="18" t="str">
        <f t="shared" si="8"/>
        <v/>
      </c>
      <c r="G97" s="19" t="str">
        <f t="shared" si="9"/>
        <v/>
      </c>
    </row>
    <row r="98" spans="1:7" ht="16.5" customHeight="1" x14ac:dyDescent="0.2">
      <c r="A98" s="6">
        <f>IF(IFERROR(G97&gt;0,FALSE()),83,"")</f>
        <v>83</v>
      </c>
      <c r="B98" s="7">
        <f>IF(IFERROR(G97&gt;0,FALSE()),EDATE($C$10,83),"")</f>
        <v>48670</v>
      </c>
      <c r="C98" s="8" t="str">
        <f t="shared" si="5"/>
        <v/>
      </c>
      <c r="D98" s="9" t="str">
        <f t="shared" si="6"/>
        <v/>
      </c>
      <c r="E98" s="10" t="str">
        <f t="shared" si="7"/>
        <v/>
      </c>
      <c r="F98" s="11" t="str">
        <f t="shared" si="8"/>
        <v/>
      </c>
      <c r="G98" s="12" t="str">
        <f t="shared" si="9"/>
        <v/>
      </c>
    </row>
    <row r="99" spans="1:7" ht="16.5" customHeight="1" x14ac:dyDescent="0.2">
      <c r="A99" s="13">
        <f>IF(IFERROR(G98&gt;0,FALSE()),84,"")</f>
        <v>84</v>
      </c>
      <c r="B99" s="14">
        <f>IF(IFERROR(G98&gt;0,FALSE()),EDATE($C$10,84),"")</f>
        <v>48700</v>
      </c>
      <c r="C99" s="15" t="str">
        <f t="shared" si="5"/>
        <v/>
      </c>
      <c r="D99" s="16" t="str">
        <f t="shared" si="6"/>
        <v/>
      </c>
      <c r="E99" s="17" t="str">
        <f t="shared" si="7"/>
        <v/>
      </c>
      <c r="F99" s="18" t="str">
        <f t="shared" si="8"/>
        <v/>
      </c>
      <c r="G99" s="19" t="str">
        <f t="shared" si="9"/>
        <v/>
      </c>
    </row>
    <row r="100" spans="1:7" ht="16.5" customHeight="1" x14ac:dyDescent="0.2">
      <c r="A100" s="6">
        <f>IF(IFERROR(G99&gt;0,FALSE()),85,"")</f>
        <v>85</v>
      </c>
      <c r="B100" s="7">
        <f>IF(IFERROR(G99&gt;0,FALSE()),EDATE($C$10,85),"")</f>
        <v>48731</v>
      </c>
      <c r="C100" s="8" t="str">
        <f t="shared" si="5"/>
        <v/>
      </c>
      <c r="D100" s="9" t="str">
        <f t="shared" si="6"/>
        <v/>
      </c>
      <c r="E100" s="10" t="str">
        <f t="shared" si="7"/>
        <v/>
      </c>
      <c r="F100" s="11" t="str">
        <f t="shared" si="8"/>
        <v/>
      </c>
      <c r="G100" s="12" t="str">
        <f t="shared" si="9"/>
        <v/>
      </c>
    </row>
    <row r="101" spans="1:7" ht="16.5" customHeight="1" x14ac:dyDescent="0.2">
      <c r="A101" s="13">
        <f>IF(IFERROR(G100&gt;0,FALSE()),86,"")</f>
        <v>86</v>
      </c>
      <c r="B101" s="14">
        <f>IF(IFERROR(G100&gt;0,FALSE()),EDATE($C$10,86),"")</f>
        <v>48761</v>
      </c>
      <c r="C101" s="15" t="str">
        <f t="shared" si="5"/>
        <v/>
      </c>
      <c r="D101" s="16" t="str">
        <f t="shared" si="6"/>
        <v/>
      </c>
      <c r="E101" s="17" t="str">
        <f t="shared" si="7"/>
        <v/>
      </c>
      <c r="F101" s="18" t="str">
        <f t="shared" si="8"/>
        <v/>
      </c>
      <c r="G101" s="19" t="str">
        <f t="shared" si="9"/>
        <v/>
      </c>
    </row>
    <row r="102" spans="1:7" ht="16.5" customHeight="1" x14ac:dyDescent="0.2">
      <c r="A102" s="6">
        <f>IF(IFERROR(G101&gt;0,FALSE()),87,"")</f>
        <v>87</v>
      </c>
      <c r="B102" s="7">
        <f>IF(IFERROR(G101&gt;0,FALSE()),EDATE($C$10,87),"")</f>
        <v>48792</v>
      </c>
      <c r="C102" s="8" t="str">
        <f t="shared" si="5"/>
        <v/>
      </c>
      <c r="D102" s="9" t="str">
        <f t="shared" si="6"/>
        <v/>
      </c>
      <c r="E102" s="10" t="str">
        <f t="shared" si="7"/>
        <v/>
      </c>
      <c r="F102" s="11" t="str">
        <f t="shared" si="8"/>
        <v/>
      </c>
      <c r="G102" s="12" t="str">
        <f t="shared" si="9"/>
        <v/>
      </c>
    </row>
    <row r="103" spans="1:7" ht="16.5" customHeight="1" x14ac:dyDescent="0.2">
      <c r="A103" s="13">
        <f>IF(IFERROR(G102&gt;0,FALSE()),88,"")</f>
        <v>88</v>
      </c>
      <c r="B103" s="14">
        <f>IF(IFERROR(G102&gt;0,FALSE()),EDATE($C$10,88),"")</f>
        <v>48823</v>
      </c>
      <c r="C103" s="15" t="str">
        <f t="shared" si="5"/>
        <v/>
      </c>
      <c r="D103" s="16" t="str">
        <f t="shared" si="6"/>
        <v/>
      </c>
      <c r="E103" s="17" t="str">
        <f t="shared" si="7"/>
        <v/>
      </c>
      <c r="F103" s="18" t="str">
        <f t="shared" si="8"/>
        <v/>
      </c>
      <c r="G103" s="19" t="str">
        <f t="shared" si="9"/>
        <v/>
      </c>
    </row>
    <row r="104" spans="1:7" ht="16.5" customHeight="1" x14ac:dyDescent="0.2">
      <c r="A104" s="6">
        <f>IF(IFERROR(G103&gt;0,FALSE()),89,"")</f>
        <v>89</v>
      </c>
      <c r="B104" s="7">
        <f>IF(IFERROR(G103&gt;0,FALSE()),EDATE($C$10,89),"")</f>
        <v>48853</v>
      </c>
      <c r="C104" s="8" t="str">
        <f t="shared" si="5"/>
        <v/>
      </c>
      <c r="D104" s="9" t="str">
        <f t="shared" si="6"/>
        <v/>
      </c>
      <c r="E104" s="10" t="str">
        <f t="shared" si="7"/>
        <v/>
      </c>
      <c r="F104" s="11" t="str">
        <f t="shared" si="8"/>
        <v/>
      </c>
      <c r="G104" s="12" t="str">
        <f t="shared" si="9"/>
        <v/>
      </c>
    </row>
    <row r="105" spans="1:7" ht="16.5" customHeight="1" x14ac:dyDescent="0.2">
      <c r="A105" s="13">
        <f>IF(IFERROR(G104&gt;0,FALSE()),90,"")</f>
        <v>90</v>
      </c>
      <c r="B105" s="14">
        <f>IF(IFERROR(G104&gt;0,FALSE()),EDATE($C$10,90),"")</f>
        <v>48884</v>
      </c>
      <c r="C105" s="15" t="str">
        <f t="shared" si="5"/>
        <v/>
      </c>
      <c r="D105" s="16" t="str">
        <f t="shared" si="6"/>
        <v/>
      </c>
      <c r="E105" s="17" t="str">
        <f t="shared" si="7"/>
        <v/>
      </c>
      <c r="F105" s="18" t="str">
        <f t="shared" si="8"/>
        <v/>
      </c>
      <c r="G105" s="19" t="str">
        <f t="shared" si="9"/>
        <v/>
      </c>
    </row>
    <row r="106" spans="1:7" ht="16.5" customHeight="1" x14ac:dyDescent="0.2">
      <c r="A106" s="6">
        <f>IF(IFERROR(G105&gt;0,FALSE()),91,"")</f>
        <v>91</v>
      </c>
      <c r="B106" s="7">
        <f>IF(IFERROR(G105&gt;0,FALSE()),EDATE($C$10,91),"")</f>
        <v>48914</v>
      </c>
      <c r="C106" s="8" t="str">
        <f t="shared" si="5"/>
        <v/>
      </c>
      <c r="D106" s="9" t="str">
        <f t="shared" si="6"/>
        <v/>
      </c>
      <c r="E106" s="10" t="str">
        <f t="shared" si="7"/>
        <v/>
      </c>
      <c r="F106" s="11" t="str">
        <f t="shared" si="8"/>
        <v/>
      </c>
      <c r="G106" s="12" t="str">
        <f t="shared" si="9"/>
        <v/>
      </c>
    </row>
    <row r="107" spans="1:7" ht="16.5" customHeight="1" x14ac:dyDescent="0.2">
      <c r="A107" s="13">
        <f>IF(IFERROR(G106&gt;0,FALSE()),92,"")</f>
        <v>92</v>
      </c>
      <c r="B107" s="14">
        <f>IF(IFERROR(G106&gt;0,FALSE()),EDATE($C$10,92),"")</f>
        <v>48945</v>
      </c>
      <c r="C107" s="15" t="str">
        <f t="shared" si="5"/>
        <v/>
      </c>
      <c r="D107" s="16" t="str">
        <f t="shared" si="6"/>
        <v/>
      </c>
      <c r="E107" s="17" t="str">
        <f t="shared" si="7"/>
        <v/>
      </c>
      <c r="F107" s="18" t="str">
        <f t="shared" si="8"/>
        <v/>
      </c>
      <c r="G107" s="19" t="str">
        <f t="shared" si="9"/>
        <v/>
      </c>
    </row>
    <row r="108" spans="1:7" ht="16.5" customHeight="1" x14ac:dyDescent="0.2">
      <c r="A108" s="6">
        <f>IF(IFERROR(G107&gt;0,FALSE()),93,"")</f>
        <v>93</v>
      </c>
      <c r="B108" s="7">
        <f>IF(IFERROR(G107&gt;0,FALSE()),EDATE($C$10,93),"")</f>
        <v>48976</v>
      </c>
      <c r="C108" s="8" t="str">
        <f t="shared" si="5"/>
        <v/>
      </c>
      <c r="D108" s="9" t="str">
        <f t="shared" si="6"/>
        <v/>
      </c>
      <c r="E108" s="10" t="str">
        <f t="shared" si="7"/>
        <v/>
      </c>
      <c r="F108" s="11" t="str">
        <f t="shared" si="8"/>
        <v/>
      </c>
      <c r="G108" s="12" t="str">
        <f t="shared" si="9"/>
        <v/>
      </c>
    </row>
    <row r="109" spans="1:7" ht="16.5" customHeight="1" x14ac:dyDescent="0.2">
      <c r="A109" s="13">
        <f>IF(IFERROR(G108&gt;0,FALSE()),94,"")</f>
        <v>94</v>
      </c>
      <c r="B109" s="14">
        <f>IF(IFERROR(G108&gt;0,FALSE()),EDATE($C$10,94),"")</f>
        <v>49004</v>
      </c>
      <c r="C109" s="15" t="str">
        <f t="shared" si="5"/>
        <v/>
      </c>
      <c r="D109" s="16" t="str">
        <f t="shared" si="6"/>
        <v/>
      </c>
      <c r="E109" s="17" t="str">
        <f t="shared" si="7"/>
        <v/>
      </c>
      <c r="F109" s="18" t="str">
        <f t="shared" si="8"/>
        <v/>
      </c>
      <c r="G109" s="19" t="str">
        <f t="shared" si="9"/>
        <v/>
      </c>
    </row>
    <row r="110" spans="1:7" ht="16.5" customHeight="1" x14ac:dyDescent="0.2">
      <c r="A110" s="6">
        <f>IF(IFERROR(G109&gt;0,FALSE()),95,"")</f>
        <v>95</v>
      </c>
      <c r="B110" s="7">
        <f>IF(IFERROR(G109&gt;0,FALSE()),EDATE($C$10,95),"")</f>
        <v>49035</v>
      </c>
      <c r="C110" s="8" t="str">
        <f t="shared" si="5"/>
        <v/>
      </c>
      <c r="D110" s="9" t="str">
        <f t="shared" si="6"/>
        <v/>
      </c>
      <c r="E110" s="10" t="str">
        <f t="shared" si="7"/>
        <v/>
      </c>
      <c r="F110" s="11" t="str">
        <f t="shared" si="8"/>
        <v/>
      </c>
      <c r="G110" s="12" t="str">
        <f t="shared" si="9"/>
        <v/>
      </c>
    </row>
    <row r="111" spans="1:7" ht="16.5" customHeight="1" x14ac:dyDescent="0.2">
      <c r="A111" s="13">
        <f>IF(IFERROR(G110&gt;0,FALSE()),96,"")</f>
        <v>96</v>
      </c>
      <c r="B111" s="14">
        <f>IF(IFERROR(G110&gt;0,FALSE()),EDATE($C$10,96),"")</f>
        <v>49065</v>
      </c>
      <c r="C111" s="15" t="str">
        <f t="shared" si="5"/>
        <v/>
      </c>
      <c r="D111" s="16" t="str">
        <f t="shared" si="6"/>
        <v/>
      </c>
      <c r="E111" s="17" t="str">
        <f t="shared" si="7"/>
        <v/>
      </c>
      <c r="F111" s="18" t="str">
        <f t="shared" si="8"/>
        <v/>
      </c>
      <c r="G111" s="19" t="str">
        <f t="shared" si="9"/>
        <v/>
      </c>
    </row>
    <row r="112" spans="1:7" ht="16.5" customHeight="1" x14ac:dyDescent="0.2">
      <c r="A112" s="6">
        <f>IF(IFERROR(G111&gt;0,FALSE()),97,"")</f>
        <v>97</v>
      </c>
      <c r="B112" s="7">
        <f>IF(IFERROR(G111&gt;0,FALSE()),EDATE($C$10,97),"")</f>
        <v>49096</v>
      </c>
      <c r="C112" s="8" t="str">
        <f t="shared" si="5"/>
        <v/>
      </c>
      <c r="D112" s="9" t="str">
        <f t="shared" si="6"/>
        <v/>
      </c>
      <c r="E112" s="10" t="str">
        <f t="shared" si="7"/>
        <v/>
      </c>
      <c r="F112" s="11" t="str">
        <f t="shared" si="8"/>
        <v/>
      </c>
      <c r="G112" s="12" t="str">
        <f t="shared" si="9"/>
        <v/>
      </c>
    </row>
    <row r="113" spans="1:7" ht="16.5" customHeight="1" x14ac:dyDescent="0.2">
      <c r="A113" s="13">
        <f>IF(IFERROR(G112&gt;0,FALSE()),98,"")</f>
        <v>98</v>
      </c>
      <c r="B113" s="14">
        <f>IF(IFERROR(G112&gt;0,FALSE()),EDATE($C$10,98),"")</f>
        <v>49126</v>
      </c>
      <c r="C113" s="15" t="str">
        <f t="shared" si="5"/>
        <v/>
      </c>
      <c r="D113" s="16" t="str">
        <f t="shared" si="6"/>
        <v/>
      </c>
      <c r="E113" s="17" t="str">
        <f t="shared" si="7"/>
        <v/>
      </c>
      <c r="F113" s="18" t="str">
        <f t="shared" si="8"/>
        <v/>
      </c>
      <c r="G113" s="19" t="str">
        <f t="shared" si="9"/>
        <v/>
      </c>
    </row>
    <row r="114" spans="1:7" ht="16.5" customHeight="1" x14ac:dyDescent="0.2">
      <c r="A114" s="6">
        <f>IF(IFERROR(G113&gt;0,FALSE()),99,"")</f>
        <v>99</v>
      </c>
      <c r="B114" s="7">
        <f>IF(IFERROR(G113&gt;0,FALSE()),EDATE($C$10,99),"")</f>
        <v>49157</v>
      </c>
      <c r="C114" s="8" t="str">
        <f t="shared" si="5"/>
        <v/>
      </c>
      <c r="D114" s="9" t="str">
        <f t="shared" si="6"/>
        <v/>
      </c>
      <c r="E114" s="10" t="str">
        <f t="shared" si="7"/>
        <v/>
      </c>
      <c r="F114" s="11" t="str">
        <f t="shared" si="8"/>
        <v/>
      </c>
      <c r="G114" s="12" t="str">
        <f t="shared" si="9"/>
        <v/>
      </c>
    </row>
    <row r="115" spans="1:7" ht="16.5" customHeight="1" x14ac:dyDescent="0.2">
      <c r="A115" s="13">
        <f>IF(IFERROR(G114&gt;0,FALSE()),100,"")</f>
        <v>100</v>
      </c>
      <c r="B115" s="14">
        <f>IF(IFERROR(G114&gt;0,FALSE()),EDATE($C$10,100),"")</f>
        <v>49188</v>
      </c>
      <c r="C115" s="15" t="str">
        <f t="shared" si="5"/>
        <v/>
      </c>
      <c r="D115" s="16" t="str">
        <f t="shared" si="6"/>
        <v/>
      </c>
      <c r="E115" s="17" t="str">
        <f t="shared" si="7"/>
        <v/>
      </c>
      <c r="F115" s="18" t="str">
        <f t="shared" si="8"/>
        <v/>
      </c>
      <c r="G115" s="19" t="str">
        <f t="shared" si="9"/>
        <v/>
      </c>
    </row>
    <row r="116" spans="1:7" ht="16.5" customHeight="1" x14ac:dyDescent="0.2">
      <c r="A116" s="6">
        <f>IF(IFERROR(G115&gt;0,FALSE()),101,"")</f>
        <v>101</v>
      </c>
      <c r="B116" s="7">
        <f>IF(IFERROR(G115&gt;0,FALSE()),EDATE($C$10,101),"")</f>
        <v>49218</v>
      </c>
      <c r="C116" s="8" t="str">
        <f t="shared" si="5"/>
        <v/>
      </c>
      <c r="D116" s="9" t="str">
        <f t="shared" si="6"/>
        <v/>
      </c>
      <c r="E116" s="10" t="str">
        <f t="shared" si="7"/>
        <v/>
      </c>
      <c r="F116" s="11" t="str">
        <f t="shared" si="8"/>
        <v/>
      </c>
      <c r="G116" s="12" t="str">
        <f t="shared" si="9"/>
        <v/>
      </c>
    </row>
    <row r="117" spans="1:7" ht="16.5" customHeight="1" x14ac:dyDescent="0.2">
      <c r="A117" s="13">
        <f>IF(IFERROR(G116&gt;0,FALSE()),102,"")</f>
        <v>102</v>
      </c>
      <c r="B117" s="14">
        <f>IF(IFERROR(G116&gt;0,FALSE()),EDATE($C$10,102),"")</f>
        <v>49249</v>
      </c>
      <c r="C117" s="15" t="str">
        <f t="shared" si="5"/>
        <v/>
      </c>
      <c r="D117" s="16" t="str">
        <f t="shared" si="6"/>
        <v/>
      </c>
      <c r="E117" s="17" t="str">
        <f t="shared" si="7"/>
        <v/>
      </c>
      <c r="F117" s="18" t="str">
        <f t="shared" si="8"/>
        <v/>
      </c>
      <c r="G117" s="19" t="str">
        <f t="shared" si="9"/>
        <v/>
      </c>
    </row>
    <row r="118" spans="1:7" ht="16.5" customHeight="1" x14ac:dyDescent="0.2">
      <c r="A118" s="6">
        <f>IF(IFERROR(G117&gt;0,FALSE()),103,"")</f>
        <v>103</v>
      </c>
      <c r="B118" s="7">
        <f>IF(IFERROR(G117&gt;0,FALSE()),EDATE($C$10,103),"")</f>
        <v>49279</v>
      </c>
      <c r="C118" s="8" t="str">
        <f t="shared" si="5"/>
        <v/>
      </c>
      <c r="D118" s="9" t="str">
        <f t="shared" si="6"/>
        <v/>
      </c>
      <c r="E118" s="10" t="str">
        <f t="shared" si="7"/>
        <v/>
      </c>
      <c r="F118" s="11" t="str">
        <f t="shared" si="8"/>
        <v/>
      </c>
      <c r="G118" s="12" t="str">
        <f t="shared" si="9"/>
        <v/>
      </c>
    </row>
    <row r="119" spans="1:7" ht="16.5" customHeight="1" x14ac:dyDescent="0.2">
      <c r="A119" s="13">
        <f>IF(IFERROR(G118&gt;0,FALSE()),104,"")</f>
        <v>104</v>
      </c>
      <c r="B119" s="14">
        <f>IF(IFERROR(G118&gt;0,FALSE()),EDATE($C$10,104),"")</f>
        <v>49310</v>
      </c>
      <c r="C119" s="15" t="str">
        <f t="shared" si="5"/>
        <v/>
      </c>
      <c r="D119" s="16" t="str">
        <f t="shared" si="6"/>
        <v/>
      </c>
      <c r="E119" s="17" t="str">
        <f t="shared" si="7"/>
        <v/>
      </c>
      <c r="F119" s="18" t="str">
        <f t="shared" si="8"/>
        <v/>
      </c>
      <c r="G119" s="19" t="str">
        <f t="shared" si="9"/>
        <v/>
      </c>
    </row>
    <row r="120" spans="1:7" ht="16.5" customHeight="1" x14ac:dyDescent="0.2">
      <c r="A120" s="6">
        <f>IF(IFERROR(G119&gt;0,FALSE()),105,"")</f>
        <v>105</v>
      </c>
      <c r="B120" s="7">
        <f>IF(IFERROR(G119&gt;0,FALSE()),EDATE($C$10,105),"")</f>
        <v>49341</v>
      </c>
      <c r="C120" s="8" t="str">
        <f t="shared" si="5"/>
        <v/>
      </c>
      <c r="D120" s="9" t="str">
        <f t="shared" si="6"/>
        <v/>
      </c>
      <c r="E120" s="10" t="str">
        <f t="shared" si="7"/>
        <v/>
      </c>
      <c r="F120" s="11" t="str">
        <f t="shared" si="8"/>
        <v/>
      </c>
      <c r="G120" s="12" t="str">
        <f t="shared" si="9"/>
        <v/>
      </c>
    </row>
    <row r="121" spans="1:7" ht="16.5" customHeight="1" x14ac:dyDescent="0.2">
      <c r="A121" s="13">
        <f>IF(IFERROR(G120&gt;0,FALSE()),106,"")</f>
        <v>106</v>
      </c>
      <c r="B121" s="14">
        <f>IF(IFERROR(G120&gt;0,FALSE()),EDATE($C$10,106),"")</f>
        <v>49369</v>
      </c>
      <c r="C121" s="15" t="str">
        <f t="shared" si="5"/>
        <v/>
      </c>
      <c r="D121" s="16" t="str">
        <f t="shared" si="6"/>
        <v/>
      </c>
      <c r="E121" s="17" t="str">
        <f t="shared" si="7"/>
        <v/>
      </c>
      <c r="F121" s="18" t="str">
        <f t="shared" si="8"/>
        <v/>
      </c>
      <c r="G121" s="19" t="str">
        <f t="shared" si="9"/>
        <v/>
      </c>
    </row>
    <row r="122" spans="1:7" ht="16.5" customHeight="1" x14ac:dyDescent="0.2">
      <c r="A122" s="6">
        <f>IF(IFERROR(G121&gt;0,FALSE()),107,"")</f>
        <v>107</v>
      </c>
      <c r="B122" s="7">
        <f>IF(IFERROR(G121&gt;0,FALSE()),EDATE($C$10,107),"")</f>
        <v>49400</v>
      </c>
      <c r="C122" s="8" t="str">
        <f t="shared" si="5"/>
        <v/>
      </c>
      <c r="D122" s="9" t="str">
        <f t="shared" si="6"/>
        <v/>
      </c>
      <c r="E122" s="10" t="str">
        <f t="shared" si="7"/>
        <v/>
      </c>
      <c r="F122" s="11" t="str">
        <f t="shared" si="8"/>
        <v/>
      </c>
      <c r="G122" s="12" t="str">
        <f t="shared" si="9"/>
        <v/>
      </c>
    </row>
    <row r="123" spans="1:7" ht="16.5" customHeight="1" x14ac:dyDescent="0.2">
      <c r="A123" s="13">
        <f>IF(IFERROR(G122&gt;0,FALSE()),108,"")</f>
        <v>108</v>
      </c>
      <c r="B123" s="14">
        <f>IF(IFERROR(G122&gt;0,FALSE()),EDATE($C$10,108),"")</f>
        <v>49430</v>
      </c>
      <c r="C123" s="15" t="str">
        <f t="shared" si="5"/>
        <v/>
      </c>
      <c r="D123" s="16" t="str">
        <f t="shared" si="6"/>
        <v/>
      </c>
      <c r="E123" s="17" t="str">
        <f t="shared" si="7"/>
        <v/>
      </c>
      <c r="F123" s="18" t="str">
        <f t="shared" si="8"/>
        <v/>
      </c>
      <c r="G123" s="19" t="str">
        <f t="shared" si="9"/>
        <v/>
      </c>
    </row>
    <row r="124" spans="1:7" ht="16.5" customHeight="1" x14ac:dyDescent="0.2">
      <c r="A124" s="6">
        <f>IF(IFERROR(G123&gt;0,FALSE()),109,"")</f>
        <v>109</v>
      </c>
      <c r="B124" s="7">
        <f>IF(IFERROR(G123&gt;0,FALSE()),EDATE($C$10,109),"")</f>
        <v>49461</v>
      </c>
      <c r="C124" s="8" t="str">
        <f t="shared" si="5"/>
        <v/>
      </c>
      <c r="D124" s="9" t="str">
        <f t="shared" si="6"/>
        <v/>
      </c>
      <c r="E124" s="10" t="str">
        <f t="shared" si="7"/>
        <v/>
      </c>
      <c r="F124" s="11" t="str">
        <f t="shared" si="8"/>
        <v/>
      </c>
      <c r="G124" s="12" t="str">
        <f t="shared" si="9"/>
        <v/>
      </c>
    </row>
    <row r="125" spans="1:7" ht="16.5" customHeight="1" x14ac:dyDescent="0.2">
      <c r="A125" s="13">
        <f>IF(IFERROR(G124&gt;0,FALSE()),110,"")</f>
        <v>110</v>
      </c>
      <c r="B125" s="14">
        <f>IF(IFERROR(G124&gt;0,FALSE()),EDATE($C$10,110),"")</f>
        <v>49491</v>
      </c>
      <c r="C125" s="15" t="str">
        <f t="shared" si="5"/>
        <v/>
      </c>
      <c r="D125" s="16" t="str">
        <f t="shared" si="6"/>
        <v/>
      </c>
      <c r="E125" s="17" t="str">
        <f t="shared" si="7"/>
        <v/>
      </c>
      <c r="F125" s="18" t="str">
        <f t="shared" si="8"/>
        <v/>
      </c>
      <c r="G125" s="19" t="str">
        <f t="shared" si="9"/>
        <v/>
      </c>
    </row>
    <row r="126" spans="1:7" ht="16.5" customHeight="1" x14ac:dyDescent="0.2">
      <c r="A126" s="6">
        <f>IF(IFERROR(G125&gt;0,FALSE()),111,"")</f>
        <v>111</v>
      </c>
      <c r="B126" s="7">
        <f>IF(IFERROR(G125&gt;0,FALSE()),EDATE($C$10,111),"")</f>
        <v>49522</v>
      </c>
      <c r="C126" s="8" t="str">
        <f t="shared" si="5"/>
        <v/>
      </c>
      <c r="D126" s="9" t="str">
        <f t="shared" si="6"/>
        <v/>
      </c>
      <c r="E126" s="10" t="str">
        <f t="shared" si="7"/>
        <v/>
      </c>
      <c r="F126" s="11" t="str">
        <f t="shared" si="8"/>
        <v/>
      </c>
      <c r="G126" s="12" t="str">
        <f t="shared" si="9"/>
        <v/>
      </c>
    </row>
    <row r="127" spans="1:7" ht="16.5" customHeight="1" x14ac:dyDescent="0.2">
      <c r="A127" s="13">
        <f>IF(IFERROR(G126&gt;0,FALSE()),112,"")</f>
        <v>112</v>
      </c>
      <c r="B127" s="14">
        <f>IF(IFERROR(G126&gt;0,FALSE()),EDATE($C$10,112),"")</f>
        <v>49553</v>
      </c>
      <c r="C127" s="15" t="str">
        <f t="shared" si="5"/>
        <v/>
      </c>
      <c r="D127" s="16" t="str">
        <f t="shared" si="6"/>
        <v/>
      </c>
      <c r="E127" s="17" t="str">
        <f t="shared" si="7"/>
        <v/>
      </c>
      <c r="F127" s="18" t="str">
        <f t="shared" si="8"/>
        <v/>
      </c>
      <c r="G127" s="19" t="str">
        <f t="shared" si="9"/>
        <v/>
      </c>
    </row>
    <row r="128" spans="1:7" ht="16.5" customHeight="1" x14ac:dyDescent="0.2">
      <c r="A128" s="6">
        <f>IF(IFERROR(G127&gt;0,FALSE()),113,"")</f>
        <v>113</v>
      </c>
      <c r="B128" s="7">
        <f>IF(IFERROR(G127&gt;0,FALSE()),EDATE($C$10,113),"")</f>
        <v>49583</v>
      </c>
      <c r="C128" s="8" t="str">
        <f t="shared" si="5"/>
        <v/>
      </c>
      <c r="D128" s="9" t="str">
        <f t="shared" si="6"/>
        <v/>
      </c>
      <c r="E128" s="10" t="str">
        <f t="shared" si="7"/>
        <v/>
      </c>
      <c r="F128" s="11" t="str">
        <f t="shared" si="8"/>
        <v/>
      </c>
      <c r="G128" s="12" t="str">
        <f t="shared" si="9"/>
        <v/>
      </c>
    </row>
    <row r="129" spans="1:7" ht="16.5" customHeight="1" x14ac:dyDescent="0.2">
      <c r="A129" s="13">
        <f>IF(IFERROR(G128&gt;0,FALSE()),114,"")</f>
        <v>114</v>
      </c>
      <c r="B129" s="14">
        <f>IF(IFERROR(G128&gt;0,FALSE()),EDATE($C$10,114),"")</f>
        <v>49614</v>
      </c>
      <c r="C129" s="15" t="str">
        <f t="shared" si="5"/>
        <v/>
      </c>
      <c r="D129" s="16" t="str">
        <f t="shared" si="6"/>
        <v/>
      </c>
      <c r="E129" s="17" t="str">
        <f t="shared" si="7"/>
        <v/>
      </c>
      <c r="F129" s="18" t="str">
        <f t="shared" si="8"/>
        <v/>
      </c>
      <c r="G129" s="19" t="str">
        <f t="shared" si="9"/>
        <v/>
      </c>
    </row>
    <row r="130" spans="1:7" ht="16.5" customHeight="1" x14ac:dyDescent="0.2">
      <c r="A130" s="6">
        <f>IF(IFERROR(G129&gt;0,FALSE()),115,"")</f>
        <v>115</v>
      </c>
      <c r="B130" s="7">
        <f>IF(IFERROR(G129&gt;0,FALSE()),EDATE($C$10,115),"")</f>
        <v>49644</v>
      </c>
      <c r="C130" s="8" t="str">
        <f t="shared" si="5"/>
        <v/>
      </c>
      <c r="D130" s="9" t="str">
        <f t="shared" si="6"/>
        <v/>
      </c>
      <c r="E130" s="10" t="str">
        <f t="shared" si="7"/>
        <v/>
      </c>
      <c r="F130" s="11" t="str">
        <f t="shared" si="8"/>
        <v/>
      </c>
      <c r="G130" s="12" t="str">
        <f t="shared" si="9"/>
        <v/>
      </c>
    </row>
    <row r="131" spans="1:7" ht="16.5" customHeight="1" x14ac:dyDescent="0.2">
      <c r="A131" s="13">
        <f>IF(IFERROR(G130&gt;0,FALSE()),116,"")</f>
        <v>116</v>
      </c>
      <c r="B131" s="14">
        <f>IF(IFERROR(G130&gt;0,FALSE()),EDATE($C$10,116),"")</f>
        <v>49675</v>
      </c>
      <c r="C131" s="15" t="str">
        <f t="shared" si="5"/>
        <v/>
      </c>
      <c r="D131" s="16" t="str">
        <f t="shared" si="6"/>
        <v/>
      </c>
      <c r="E131" s="17" t="str">
        <f t="shared" si="7"/>
        <v/>
      </c>
      <c r="F131" s="18" t="str">
        <f t="shared" si="8"/>
        <v/>
      </c>
      <c r="G131" s="19" t="str">
        <f t="shared" si="9"/>
        <v/>
      </c>
    </row>
    <row r="132" spans="1:7" ht="16.5" customHeight="1" x14ac:dyDescent="0.2">
      <c r="A132" s="6">
        <f>IF(IFERROR(G131&gt;0,FALSE()),117,"")</f>
        <v>117</v>
      </c>
      <c r="B132" s="7">
        <f>IF(IFERROR(G131&gt;0,FALSE()),EDATE($C$10,117),"")</f>
        <v>49706</v>
      </c>
      <c r="C132" s="8" t="str">
        <f t="shared" si="5"/>
        <v/>
      </c>
      <c r="D132" s="9" t="str">
        <f t="shared" si="6"/>
        <v/>
      </c>
      <c r="E132" s="10" t="str">
        <f t="shared" si="7"/>
        <v/>
      </c>
      <c r="F132" s="11" t="str">
        <f t="shared" si="8"/>
        <v/>
      </c>
      <c r="G132" s="12" t="str">
        <f t="shared" si="9"/>
        <v/>
      </c>
    </row>
    <row r="133" spans="1:7" ht="16.5" customHeight="1" x14ac:dyDescent="0.2">
      <c r="A133" s="13">
        <f>IF(IFERROR(G132&gt;0,FALSE()),118,"")</f>
        <v>118</v>
      </c>
      <c r="B133" s="14">
        <f>IF(IFERROR(G132&gt;0,FALSE()),EDATE($C$10,118),"")</f>
        <v>49735</v>
      </c>
      <c r="C133" s="15" t="str">
        <f t="shared" si="5"/>
        <v/>
      </c>
      <c r="D133" s="16" t="str">
        <f t="shared" si="6"/>
        <v/>
      </c>
      <c r="E133" s="17" t="str">
        <f t="shared" si="7"/>
        <v/>
      </c>
      <c r="F133" s="18" t="str">
        <f t="shared" si="8"/>
        <v/>
      </c>
      <c r="G133" s="19" t="str">
        <f t="shared" si="9"/>
        <v/>
      </c>
    </row>
    <row r="134" spans="1:7" ht="16.5" customHeight="1" x14ac:dyDescent="0.2">
      <c r="A134" s="6">
        <f>IF(IFERROR(G133&gt;0,FALSE()),119,"")</f>
        <v>119</v>
      </c>
      <c r="B134" s="7">
        <f>IF(IFERROR(G133&gt;0,FALSE()),EDATE($C$10,119),"")</f>
        <v>49766</v>
      </c>
      <c r="C134" s="8" t="str">
        <f t="shared" si="5"/>
        <v/>
      </c>
      <c r="D134" s="9" t="str">
        <f t="shared" si="6"/>
        <v/>
      </c>
      <c r="E134" s="10" t="str">
        <f t="shared" si="7"/>
        <v/>
      </c>
      <c r="F134" s="11" t="str">
        <f t="shared" si="8"/>
        <v/>
      </c>
      <c r="G134" s="12" t="str">
        <f t="shared" si="9"/>
        <v/>
      </c>
    </row>
    <row r="135" spans="1:7" ht="16.5" customHeight="1" x14ac:dyDescent="0.2">
      <c r="A135" s="13">
        <f>IF(IFERROR(G134&gt;0,FALSE()),120,"")</f>
        <v>120</v>
      </c>
      <c r="B135" s="14">
        <f>IF(IFERROR(G134&gt;0,FALSE()),EDATE($C$10,120),"")</f>
        <v>49796</v>
      </c>
      <c r="C135" s="15" t="str">
        <f t="shared" si="5"/>
        <v/>
      </c>
      <c r="D135" s="16" t="str">
        <f t="shared" si="6"/>
        <v/>
      </c>
      <c r="E135" s="17" t="str">
        <f t="shared" si="7"/>
        <v/>
      </c>
      <c r="F135" s="18" t="str">
        <f t="shared" si="8"/>
        <v/>
      </c>
      <c r="G135" s="19" t="str">
        <f t="shared" si="9"/>
        <v/>
      </c>
    </row>
    <row r="136" spans="1:7" ht="16.5" customHeight="1" x14ac:dyDescent="0.2">
      <c r="A136" s="6">
        <f>IF(IFERROR(G135&gt;0,FALSE()),121,"")</f>
        <v>121</v>
      </c>
      <c r="B136" s="7">
        <f>IF(IFERROR(G135&gt;0,FALSE()),EDATE($C$10,121),"")</f>
        <v>49827</v>
      </c>
      <c r="C136" s="8" t="str">
        <f t="shared" si="5"/>
        <v/>
      </c>
      <c r="D136" s="9" t="str">
        <f t="shared" si="6"/>
        <v/>
      </c>
      <c r="E136" s="10" t="str">
        <f t="shared" si="7"/>
        <v/>
      </c>
      <c r="F136" s="11" t="str">
        <f t="shared" si="8"/>
        <v/>
      </c>
      <c r="G136" s="12" t="str">
        <f t="shared" si="9"/>
        <v/>
      </c>
    </row>
    <row r="137" spans="1:7" ht="16.5" customHeight="1" x14ac:dyDescent="0.2">
      <c r="A137" s="13">
        <f>IF(IFERROR(G136&gt;0,FALSE()),122,"")</f>
        <v>122</v>
      </c>
      <c r="B137" s="14">
        <f>IF(IFERROR(G136&gt;0,FALSE()),EDATE($C$10,122),"")</f>
        <v>49857</v>
      </c>
      <c r="C137" s="15" t="str">
        <f t="shared" si="5"/>
        <v/>
      </c>
      <c r="D137" s="16" t="str">
        <f t="shared" si="6"/>
        <v/>
      </c>
      <c r="E137" s="17" t="str">
        <f t="shared" si="7"/>
        <v/>
      </c>
      <c r="F137" s="18" t="str">
        <f t="shared" si="8"/>
        <v/>
      </c>
      <c r="G137" s="19" t="str">
        <f t="shared" si="9"/>
        <v/>
      </c>
    </row>
    <row r="138" spans="1:7" ht="16.5" customHeight="1" x14ac:dyDescent="0.2">
      <c r="A138" s="6">
        <f>IF(IFERROR(G137&gt;0,FALSE()),123,"")</f>
        <v>123</v>
      </c>
      <c r="B138" s="7">
        <f>IF(IFERROR(G137&gt;0,FALSE()),EDATE($C$10,123),"")</f>
        <v>49888</v>
      </c>
      <c r="C138" s="8" t="str">
        <f t="shared" si="5"/>
        <v/>
      </c>
      <c r="D138" s="9" t="str">
        <f t="shared" si="6"/>
        <v/>
      </c>
      <c r="E138" s="10" t="str">
        <f t="shared" si="7"/>
        <v/>
      </c>
      <c r="F138" s="11" t="str">
        <f t="shared" si="8"/>
        <v/>
      </c>
      <c r="G138" s="12" t="str">
        <f t="shared" si="9"/>
        <v/>
      </c>
    </row>
    <row r="139" spans="1:7" ht="16.5" customHeight="1" x14ac:dyDescent="0.2">
      <c r="A139" s="13">
        <f>IF(IFERROR(G138&gt;0,FALSE()),124,"")</f>
        <v>124</v>
      </c>
      <c r="B139" s="14">
        <f>IF(IFERROR(G138&gt;0,FALSE()),EDATE($C$10,124),"")</f>
        <v>49919</v>
      </c>
      <c r="C139" s="15" t="str">
        <f t="shared" si="5"/>
        <v/>
      </c>
      <c r="D139" s="16" t="str">
        <f t="shared" si="6"/>
        <v/>
      </c>
      <c r="E139" s="17" t="str">
        <f t="shared" si="7"/>
        <v/>
      </c>
      <c r="F139" s="18" t="str">
        <f t="shared" si="8"/>
        <v/>
      </c>
      <c r="G139" s="19" t="str">
        <f t="shared" si="9"/>
        <v/>
      </c>
    </row>
    <row r="140" spans="1:7" ht="16.5" customHeight="1" x14ac:dyDescent="0.2">
      <c r="A140" s="6">
        <f>IF(IFERROR(G139&gt;0,FALSE()),125,"")</f>
        <v>125</v>
      </c>
      <c r="B140" s="7">
        <f>IF(IFERROR(G139&gt;0,FALSE()),EDATE($C$10,125),"")</f>
        <v>49949</v>
      </c>
      <c r="C140" s="8" t="str">
        <f t="shared" si="5"/>
        <v/>
      </c>
      <c r="D140" s="9" t="str">
        <f t="shared" si="6"/>
        <v/>
      </c>
      <c r="E140" s="10" t="str">
        <f t="shared" si="7"/>
        <v/>
      </c>
      <c r="F140" s="11" t="str">
        <f t="shared" si="8"/>
        <v/>
      </c>
      <c r="G140" s="12" t="str">
        <f t="shared" si="9"/>
        <v/>
      </c>
    </row>
    <row r="141" spans="1:7" ht="16.5" customHeight="1" x14ac:dyDescent="0.2">
      <c r="A141" s="13">
        <f>IF(IFERROR(G140&gt;0,FALSE()),126,"")</f>
        <v>126</v>
      </c>
      <c r="B141" s="14">
        <f>IF(IFERROR(G140&gt;0,FALSE()),EDATE($C$10,126),"")</f>
        <v>49980</v>
      </c>
      <c r="C141" s="15" t="str">
        <f t="shared" si="5"/>
        <v/>
      </c>
      <c r="D141" s="16" t="str">
        <f t="shared" si="6"/>
        <v/>
      </c>
      <c r="E141" s="17" t="str">
        <f t="shared" si="7"/>
        <v/>
      </c>
      <c r="F141" s="18" t="str">
        <f t="shared" si="8"/>
        <v/>
      </c>
      <c r="G141" s="19" t="str">
        <f t="shared" si="9"/>
        <v/>
      </c>
    </row>
    <row r="142" spans="1:7" ht="16.5" customHeight="1" x14ac:dyDescent="0.2">
      <c r="A142" s="6">
        <f>IF(IFERROR(G141&gt;0,FALSE()),127,"")</f>
        <v>127</v>
      </c>
      <c r="B142" s="7">
        <f>IF(IFERROR(G141&gt;0,FALSE()),EDATE($C$10,127),"")</f>
        <v>50010</v>
      </c>
      <c r="C142" s="8" t="str">
        <f t="shared" si="5"/>
        <v/>
      </c>
      <c r="D142" s="9" t="str">
        <f t="shared" si="6"/>
        <v/>
      </c>
      <c r="E142" s="10" t="str">
        <f t="shared" si="7"/>
        <v/>
      </c>
      <c r="F142" s="11" t="str">
        <f t="shared" si="8"/>
        <v/>
      </c>
      <c r="G142" s="12" t="str">
        <f t="shared" si="9"/>
        <v/>
      </c>
    </row>
    <row r="143" spans="1:7" ht="16.5" customHeight="1" x14ac:dyDescent="0.2">
      <c r="A143" s="13">
        <f>IF(IFERROR(G142&gt;0,FALSE()),128,"")</f>
        <v>128</v>
      </c>
      <c r="B143" s="14">
        <f>IF(IFERROR(G142&gt;0,FALSE()),EDATE($C$10,128),"")</f>
        <v>50041</v>
      </c>
      <c r="C143" s="15" t="str">
        <f t="shared" si="5"/>
        <v/>
      </c>
      <c r="D143" s="16" t="str">
        <f t="shared" si="6"/>
        <v/>
      </c>
      <c r="E143" s="17" t="str">
        <f t="shared" si="7"/>
        <v/>
      </c>
      <c r="F143" s="18" t="str">
        <f t="shared" si="8"/>
        <v/>
      </c>
      <c r="G143" s="19" t="str">
        <f t="shared" si="9"/>
        <v/>
      </c>
    </row>
    <row r="144" spans="1:7" ht="16.5" customHeight="1" x14ac:dyDescent="0.2">
      <c r="A144" s="6">
        <f>IF(IFERROR(G143&gt;0,FALSE()),129,"")</f>
        <v>129</v>
      </c>
      <c r="B144" s="7">
        <f>IF(IFERROR(G143&gt;0,FALSE()),EDATE($C$10,129),"")</f>
        <v>50072</v>
      </c>
      <c r="C144" s="8" t="str">
        <f t="shared" si="5"/>
        <v/>
      </c>
      <c r="D144" s="9" t="str">
        <f t="shared" si="6"/>
        <v/>
      </c>
      <c r="E144" s="10" t="str">
        <f t="shared" si="7"/>
        <v/>
      </c>
      <c r="F144" s="11" t="str">
        <f t="shared" si="8"/>
        <v/>
      </c>
      <c r="G144" s="12" t="str">
        <f t="shared" si="9"/>
        <v/>
      </c>
    </row>
    <row r="145" spans="1:7" ht="16.5" customHeight="1" x14ac:dyDescent="0.2">
      <c r="A145" s="13">
        <f>IF(IFERROR(G144&gt;0,FALSE()),130,"")</f>
        <v>130</v>
      </c>
      <c r="B145" s="14">
        <f>IF(IFERROR(G144&gt;0,FALSE()),EDATE($C$10,130),"")</f>
        <v>50100</v>
      </c>
      <c r="C145" s="15" t="str">
        <f t="shared" ref="C145:C208" si="10">IF(IFERROR(G144&gt;0,FALSE()),G144,"")</f>
        <v/>
      </c>
      <c r="D145" s="16" t="str">
        <f t="shared" ref="D145:D208" si="11">IFERROR(IF(IFERROR(G144&gt;0,FALSE()),ROUND(C145*$C$8/12,2),""),"")</f>
        <v/>
      </c>
      <c r="E145" s="17" t="str">
        <f t="shared" ref="E145:E208" si="12">IFERROR(IF(IFERROR(G144&gt;0,FALSE()),MAX(0,F145-D145),""),"")</f>
        <v/>
      </c>
      <c r="F145" s="18" t="str">
        <f t="shared" ref="F145:F208" si="13">IFERROR(IF(IFERROR(G144&gt;0,FALSE()),MIN($C$9,C145+D145),""),"")</f>
        <v/>
      </c>
      <c r="G145" s="19" t="str">
        <f t="shared" ref="G145:G208" si="14">IFERROR(IF(IFERROR(G144&gt;0,FALSE()),MAX(0,C145+D145-F145),""),"")</f>
        <v/>
      </c>
    </row>
    <row r="146" spans="1:7" ht="16.5" customHeight="1" x14ac:dyDescent="0.2">
      <c r="A146" s="6">
        <f>IF(IFERROR(G145&gt;0,FALSE()),131,"")</f>
        <v>131</v>
      </c>
      <c r="B146" s="7">
        <f>IF(IFERROR(G145&gt;0,FALSE()),EDATE($C$10,131),"")</f>
        <v>50131</v>
      </c>
      <c r="C146" s="8" t="str">
        <f t="shared" si="10"/>
        <v/>
      </c>
      <c r="D146" s="9" t="str">
        <f t="shared" si="11"/>
        <v/>
      </c>
      <c r="E146" s="10" t="str">
        <f t="shared" si="12"/>
        <v/>
      </c>
      <c r="F146" s="11" t="str">
        <f t="shared" si="13"/>
        <v/>
      </c>
      <c r="G146" s="12" t="str">
        <f t="shared" si="14"/>
        <v/>
      </c>
    </row>
    <row r="147" spans="1:7" ht="16.5" customHeight="1" x14ac:dyDescent="0.2">
      <c r="A147" s="13">
        <f>IF(IFERROR(G146&gt;0,FALSE()),132,"")</f>
        <v>132</v>
      </c>
      <c r="B147" s="14">
        <f>IF(IFERROR(G146&gt;0,FALSE()),EDATE($C$10,132),"")</f>
        <v>50161</v>
      </c>
      <c r="C147" s="15" t="str">
        <f t="shared" si="10"/>
        <v/>
      </c>
      <c r="D147" s="16" t="str">
        <f t="shared" si="11"/>
        <v/>
      </c>
      <c r="E147" s="17" t="str">
        <f t="shared" si="12"/>
        <v/>
      </c>
      <c r="F147" s="18" t="str">
        <f t="shared" si="13"/>
        <v/>
      </c>
      <c r="G147" s="19" t="str">
        <f t="shared" si="14"/>
        <v/>
      </c>
    </row>
    <row r="148" spans="1:7" ht="16.5" customHeight="1" x14ac:dyDescent="0.2">
      <c r="A148" s="6">
        <f>IF(IFERROR(G147&gt;0,FALSE()),133,"")</f>
        <v>133</v>
      </c>
      <c r="B148" s="7">
        <f>IF(IFERROR(G147&gt;0,FALSE()),EDATE($C$10,133),"")</f>
        <v>50192</v>
      </c>
      <c r="C148" s="8" t="str">
        <f t="shared" si="10"/>
        <v/>
      </c>
      <c r="D148" s="9" t="str">
        <f t="shared" si="11"/>
        <v/>
      </c>
      <c r="E148" s="10" t="str">
        <f t="shared" si="12"/>
        <v/>
      </c>
      <c r="F148" s="11" t="str">
        <f t="shared" si="13"/>
        <v/>
      </c>
      <c r="G148" s="12" t="str">
        <f t="shared" si="14"/>
        <v/>
      </c>
    </row>
    <row r="149" spans="1:7" ht="16.5" customHeight="1" x14ac:dyDescent="0.2">
      <c r="A149" s="13">
        <f>IF(IFERROR(G148&gt;0,FALSE()),134,"")</f>
        <v>134</v>
      </c>
      <c r="B149" s="14">
        <f>IF(IFERROR(G148&gt;0,FALSE()),EDATE($C$10,134),"")</f>
        <v>50222</v>
      </c>
      <c r="C149" s="15" t="str">
        <f t="shared" si="10"/>
        <v/>
      </c>
      <c r="D149" s="16" t="str">
        <f t="shared" si="11"/>
        <v/>
      </c>
      <c r="E149" s="17" t="str">
        <f t="shared" si="12"/>
        <v/>
      </c>
      <c r="F149" s="18" t="str">
        <f t="shared" si="13"/>
        <v/>
      </c>
      <c r="G149" s="19" t="str">
        <f t="shared" si="14"/>
        <v/>
      </c>
    </row>
    <row r="150" spans="1:7" ht="16.5" customHeight="1" x14ac:dyDescent="0.2">
      <c r="A150" s="6">
        <f>IF(IFERROR(G149&gt;0,FALSE()),135,"")</f>
        <v>135</v>
      </c>
      <c r="B150" s="7">
        <f>IF(IFERROR(G149&gt;0,FALSE()),EDATE($C$10,135),"")</f>
        <v>50253</v>
      </c>
      <c r="C150" s="8" t="str">
        <f t="shared" si="10"/>
        <v/>
      </c>
      <c r="D150" s="9" t="str">
        <f t="shared" si="11"/>
        <v/>
      </c>
      <c r="E150" s="10" t="str">
        <f t="shared" si="12"/>
        <v/>
      </c>
      <c r="F150" s="11" t="str">
        <f t="shared" si="13"/>
        <v/>
      </c>
      <c r="G150" s="12" t="str">
        <f t="shared" si="14"/>
        <v/>
      </c>
    </row>
    <row r="151" spans="1:7" ht="16.5" customHeight="1" x14ac:dyDescent="0.2">
      <c r="A151" s="13">
        <f>IF(IFERROR(G150&gt;0,FALSE()),136,"")</f>
        <v>136</v>
      </c>
      <c r="B151" s="14">
        <f>IF(IFERROR(G150&gt;0,FALSE()),EDATE($C$10,136),"")</f>
        <v>50284</v>
      </c>
      <c r="C151" s="15" t="str">
        <f t="shared" si="10"/>
        <v/>
      </c>
      <c r="D151" s="16" t="str">
        <f t="shared" si="11"/>
        <v/>
      </c>
      <c r="E151" s="17" t="str">
        <f t="shared" si="12"/>
        <v/>
      </c>
      <c r="F151" s="18" t="str">
        <f t="shared" si="13"/>
        <v/>
      </c>
      <c r="G151" s="19" t="str">
        <f t="shared" si="14"/>
        <v/>
      </c>
    </row>
    <row r="152" spans="1:7" ht="16.5" customHeight="1" x14ac:dyDescent="0.2">
      <c r="A152" s="6">
        <f>IF(IFERROR(G151&gt;0,FALSE()),137,"")</f>
        <v>137</v>
      </c>
      <c r="B152" s="7">
        <f>IF(IFERROR(G151&gt;0,FALSE()),EDATE($C$10,137),"")</f>
        <v>50314</v>
      </c>
      <c r="C152" s="8" t="str">
        <f t="shared" si="10"/>
        <v/>
      </c>
      <c r="D152" s="9" t="str">
        <f t="shared" si="11"/>
        <v/>
      </c>
      <c r="E152" s="10" t="str">
        <f t="shared" si="12"/>
        <v/>
      </c>
      <c r="F152" s="11" t="str">
        <f t="shared" si="13"/>
        <v/>
      </c>
      <c r="G152" s="12" t="str">
        <f t="shared" si="14"/>
        <v/>
      </c>
    </row>
    <row r="153" spans="1:7" ht="16.5" customHeight="1" x14ac:dyDescent="0.2">
      <c r="A153" s="13">
        <f>IF(IFERROR(G152&gt;0,FALSE()),138,"")</f>
        <v>138</v>
      </c>
      <c r="B153" s="14">
        <f>IF(IFERROR(G152&gt;0,FALSE()),EDATE($C$10,138),"")</f>
        <v>50345</v>
      </c>
      <c r="C153" s="15" t="str">
        <f t="shared" si="10"/>
        <v/>
      </c>
      <c r="D153" s="16" t="str">
        <f t="shared" si="11"/>
        <v/>
      </c>
      <c r="E153" s="17" t="str">
        <f t="shared" si="12"/>
        <v/>
      </c>
      <c r="F153" s="18" t="str">
        <f t="shared" si="13"/>
        <v/>
      </c>
      <c r="G153" s="19" t="str">
        <f t="shared" si="14"/>
        <v/>
      </c>
    </row>
    <row r="154" spans="1:7" ht="16.5" customHeight="1" x14ac:dyDescent="0.2">
      <c r="A154" s="6">
        <f>IF(IFERROR(G153&gt;0,FALSE()),139,"")</f>
        <v>139</v>
      </c>
      <c r="B154" s="7">
        <f>IF(IFERROR(G153&gt;0,FALSE()),EDATE($C$10,139),"")</f>
        <v>50375</v>
      </c>
      <c r="C154" s="8" t="str">
        <f t="shared" si="10"/>
        <v/>
      </c>
      <c r="D154" s="9" t="str">
        <f t="shared" si="11"/>
        <v/>
      </c>
      <c r="E154" s="10" t="str">
        <f t="shared" si="12"/>
        <v/>
      </c>
      <c r="F154" s="11" t="str">
        <f t="shared" si="13"/>
        <v/>
      </c>
      <c r="G154" s="12" t="str">
        <f t="shared" si="14"/>
        <v/>
      </c>
    </row>
    <row r="155" spans="1:7" ht="16.5" customHeight="1" x14ac:dyDescent="0.2">
      <c r="A155" s="13">
        <f>IF(IFERROR(G154&gt;0,FALSE()),140,"")</f>
        <v>140</v>
      </c>
      <c r="B155" s="14">
        <f>IF(IFERROR(G154&gt;0,FALSE()),EDATE($C$10,140),"")</f>
        <v>50406</v>
      </c>
      <c r="C155" s="15" t="str">
        <f t="shared" si="10"/>
        <v/>
      </c>
      <c r="D155" s="16" t="str">
        <f t="shared" si="11"/>
        <v/>
      </c>
      <c r="E155" s="17" t="str">
        <f t="shared" si="12"/>
        <v/>
      </c>
      <c r="F155" s="18" t="str">
        <f t="shared" si="13"/>
        <v/>
      </c>
      <c r="G155" s="19" t="str">
        <f t="shared" si="14"/>
        <v/>
      </c>
    </row>
    <row r="156" spans="1:7" ht="16.5" customHeight="1" x14ac:dyDescent="0.2">
      <c r="A156" s="6">
        <f>IF(IFERROR(G155&gt;0,FALSE()),141,"")</f>
        <v>141</v>
      </c>
      <c r="B156" s="7">
        <f>IF(IFERROR(G155&gt;0,FALSE()),EDATE($C$10,141),"")</f>
        <v>50437</v>
      </c>
      <c r="C156" s="8" t="str">
        <f t="shared" si="10"/>
        <v/>
      </c>
      <c r="D156" s="9" t="str">
        <f t="shared" si="11"/>
        <v/>
      </c>
      <c r="E156" s="10" t="str">
        <f t="shared" si="12"/>
        <v/>
      </c>
      <c r="F156" s="11" t="str">
        <f t="shared" si="13"/>
        <v/>
      </c>
      <c r="G156" s="12" t="str">
        <f t="shared" si="14"/>
        <v/>
      </c>
    </row>
    <row r="157" spans="1:7" ht="16.5" customHeight="1" x14ac:dyDescent="0.2">
      <c r="A157" s="13">
        <f>IF(IFERROR(G156&gt;0,FALSE()),142,"")</f>
        <v>142</v>
      </c>
      <c r="B157" s="14">
        <f>IF(IFERROR(G156&gt;0,FALSE()),EDATE($C$10,142),"")</f>
        <v>50465</v>
      </c>
      <c r="C157" s="15" t="str">
        <f t="shared" si="10"/>
        <v/>
      </c>
      <c r="D157" s="16" t="str">
        <f t="shared" si="11"/>
        <v/>
      </c>
      <c r="E157" s="17" t="str">
        <f t="shared" si="12"/>
        <v/>
      </c>
      <c r="F157" s="18" t="str">
        <f t="shared" si="13"/>
        <v/>
      </c>
      <c r="G157" s="19" t="str">
        <f t="shared" si="14"/>
        <v/>
      </c>
    </row>
    <row r="158" spans="1:7" ht="16.5" customHeight="1" x14ac:dyDescent="0.2">
      <c r="A158" s="6">
        <f>IF(IFERROR(G157&gt;0,FALSE()),143,"")</f>
        <v>143</v>
      </c>
      <c r="B158" s="7">
        <f>IF(IFERROR(G157&gt;0,FALSE()),EDATE($C$10,143),"")</f>
        <v>50496</v>
      </c>
      <c r="C158" s="8" t="str">
        <f t="shared" si="10"/>
        <v/>
      </c>
      <c r="D158" s="9" t="str">
        <f t="shared" si="11"/>
        <v/>
      </c>
      <c r="E158" s="10" t="str">
        <f t="shared" si="12"/>
        <v/>
      </c>
      <c r="F158" s="11" t="str">
        <f t="shared" si="13"/>
        <v/>
      </c>
      <c r="G158" s="12" t="str">
        <f t="shared" si="14"/>
        <v/>
      </c>
    </row>
    <row r="159" spans="1:7" ht="16.5" customHeight="1" x14ac:dyDescent="0.2">
      <c r="A159" s="13">
        <f>IF(IFERROR(G158&gt;0,FALSE()),144,"")</f>
        <v>144</v>
      </c>
      <c r="B159" s="14">
        <f>IF(IFERROR(G158&gt;0,FALSE()),EDATE($C$10,144),"")</f>
        <v>50526</v>
      </c>
      <c r="C159" s="15" t="str">
        <f t="shared" si="10"/>
        <v/>
      </c>
      <c r="D159" s="16" t="str">
        <f t="shared" si="11"/>
        <v/>
      </c>
      <c r="E159" s="17" t="str">
        <f t="shared" si="12"/>
        <v/>
      </c>
      <c r="F159" s="18" t="str">
        <f t="shared" si="13"/>
        <v/>
      </c>
      <c r="G159" s="19" t="str">
        <f t="shared" si="14"/>
        <v/>
      </c>
    </row>
    <row r="160" spans="1:7" ht="16.5" customHeight="1" x14ac:dyDescent="0.2">
      <c r="A160" s="6">
        <f>IF(IFERROR(G159&gt;0,FALSE()),145,"")</f>
        <v>145</v>
      </c>
      <c r="B160" s="7">
        <f>IF(IFERROR(G159&gt;0,FALSE()),EDATE($C$10,145),"")</f>
        <v>50557</v>
      </c>
      <c r="C160" s="8" t="str">
        <f t="shared" si="10"/>
        <v/>
      </c>
      <c r="D160" s="9" t="str">
        <f t="shared" si="11"/>
        <v/>
      </c>
      <c r="E160" s="10" t="str">
        <f t="shared" si="12"/>
        <v/>
      </c>
      <c r="F160" s="11" t="str">
        <f t="shared" si="13"/>
        <v/>
      </c>
      <c r="G160" s="12" t="str">
        <f t="shared" si="14"/>
        <v/>
      </c>
    </row>
    <row r="161" spans="1:7" ht="16.5" customHeight="1" x14ac:dyDescent="0.2">
      <c r="A161" s="13">
        <f>IF(IFERROR(G160&gt;0,FALSE()),146,"")</f>
        <v>146</v>
      </c>
      <c r="B161" s="14">
        <f>IF(IFERROR(G160&gt;0,FALSE()),EDATE($C$10,146),"")</f>
        <v>50587</v>
      </c>
      <c r="C161" s="15" t="str">
        <f t="shared" si="10"/>
        <v/>
      </c>
      <c r="D161" s="16" t="str">
        <f t="shared" si="11"/>
        <v/>
      </c>
      <c r="E161" s="17" t="str">
        <f t="shared" si="12"/>
        <v/>
      </c>
      <c r="F161" s="18" t="str">
        <f t="shared" si="13"/>
        <v/>
      </c>
      <c r="G161" s="19" t="str">
        <f t="shared" si="14"/>
        <v/>
      </c>
    </row>
    <row r="162" spans="1:7" ht="16.5" customHeight="1" x14ac:dyDescent="0.2">
      <c r="A162" s="6">
        <f>IF(IFERROR(G161&gt;0,FALSE()),147,"")</f>
        <v>147</v>
      </c>
      <c r="B162" s="7">
        <f>IF(IFERROR(G161&gt;0,FALSE()),EDATE($C$10,147),"")</f>
        <v>50618</v>
      </c>
      <c r="C162" s="8" t="str">
        <f t="shared" si="10"/>
        <v/>
      </c>
      <c r="D162" s="9" t="str">
        <f t="shared" si="11"/>
        <v/>
      </c>
      <c r="E162" s="10" t="str">
        <f t="shared" si="12"/>
        <v/>
      </c>
      <c r="F162" s="11" t="str">
        <f t="shared" si="13"/>
        <v/>
      </c>
      <c r="G162" s="12" t="str">
        <f t="shared" si="14"/>
        <v/>
      </c>
    </row>
    <row r="163" spans="1:7" ht="16.5" customHeight="1" x14ac:dyDescent="0.2">
      <c r="A163" s="13">
        <f>IF(IFERROR(G162&gt;0,FALSE()),148,"")</f>
        <v>148</v>
      </c>
      <c r="B163" s="14">
        <f>IF(IFERROR(G162&gt;0,FALSE()),EDATE($C$10,148),"")</f>
        <v>50649</v>
      </c>
      <c r="C163" s="15" t="str">
        <f t="shared" si="10"/>
        <v/>
      </c>
      <c r="D163" s="16" t="str">
        <f t="shared" si="11"/>
        <v/>
      </c>
      <c r="E163" s="17" t="str">
        <f t="shared" si="12"/>
        <v/>
      </c>
      <c r="F163" s="18" t="str">
        <f t="shared" si="13"/>
        <v/>
      </c>
      <c r="G163" s="19" t="str">
        <f t="shared" si="14"/>
        <v/>
      </c>
    </row>
    <row r="164" spans="1:7" ht="16.5" customHeight="1" x14ac:dyDescent="0.2">
      <c r="A164" s="6">
        <f>IF(IFERROR(G163&gt;0,FALSE()),149,"")</f>
        <v>149</v>
      </c>
      <c r="B164" s="7">
        <f>IF(IFERROR(G163&gt;0,FALSE()),EDATE($C$10,149),"")</f>
        <v>50679</v>
      </c>
      <c r="C164" s="8" t="str">
        <f t="shared" si="10"/>
        <v/>
      </c>
      <c r="D164" s="9" t="str">
        <f t="shared" si="11"/>
        <v/>
      </c>
      <c r="E164" s="10" t="str">
        <f t="shared" si="12"/>
        <v/>
      </c>
      <c r="F164" s="11" t="str">
        <f t="shared" si="13"/>
        <v/>
      </c>
      <c r="G164" s="12" t="str">
        <f t="shared" si="14"/>
        <v/>
      </c>
    </row>
    <row r="165" spans="1:7" ht="16.5" customHeight="1" x14ac:dyDescent="0.2">
      <c r="A165" s="13">
        <f>IF(IFERROR(G164&gt;0,FALSE()),150,"")</f>
        <v>150</v>
      </c>
      <c r="B165" s="14">
        <f>IF(IFERROR(G164&gt;0,FALSE()),EDATE($C$10,150),"")</f>
        <v>50710</v>
      </c>
      <c r="C165" s="15" t="str">
        <f t="shared" si="10"/>
        <v/>
      </c>
      <c r="D165" s="16" t="str">
        <f t="shared" si="11"/>
        <v/>
      </c>
      <c r="E165" s="17" t="str">
        <f t="shared" si="12"/>
        <v/>
      </c>
      <c r="F165" s="18" t="str">
        <f t="shared" si="13"/>
        <v/>
      </c>
      <c r="G165" s="19" t="str">
        <f t="shared" si="14"/>
        <v/>
      </c>
    </row>
    <row r="166" spans="1:7" ht="16.5" customHeight="1" x14ac:dyDescent="0.2">
      <c r="A166" s="6">
        <f>IF(IFERROR(G165&gt;0,FALSE()),151,"")</f>
        <v>151</v>
      </c>
      <c r="B166" s="7">
        <f>IF(IFERROR(G165&gt;0,FALSE()),EDATE($C$10,151),"")</f>
        <v>50740</v>
      </c>
      <c r="C166" s="8" t="str">
        <f t="shared" si="10"/>
        <v/>
      </c>
      <c r="D166" s="9" t="str">
        <f t="shared" si="11"/>
        <v/>
      </c>
      <c r="E166" s="10" t="str">
        <f t="shared" si="12"/>
        <v/>
      </c>
      <c r="F166" s="11" t="str">
        <f t="shared" si="13"/>
        <v/>
      </c>
      <c r="G166" s="12" t="str">
        <f t="shared" si="14"/>
        <v/>
      </c>
    </row>
    <row r="167" spans="1:7" ht="16.5" customHeight="1" x14ac:dyDescent="0.2">
      <c r="A167" s="13">
        <f>IF(IFERROR(G166&gt;0,FALSE()),152,"")</f>
        <v>152</v>
      </c>
      <c r="B167" s="14">
        <f>IF(IFERROR(G166&gt;0,FALSE()),EDATE($C$10,152),"")</f>
        <v>50771</v>
      </c>
      <c r="C167" s="15" t="str">
        <f t="shared" si="10"/>
        <v/>
      </c>
      <c r="D167" s="16" t="str">
        <f t="shared" si="11"/>
        <v/>
      </c>
      <c r="E167" s="17" t="str">
        <f t="shared" si="12"/>
        <v/>
      </c>
      <c r="F167" s="18" t="str">
        <f t="shared" si="13"/>
        <v/>
      </c>
      <c r="G167" s="19" t="str">
        <f t="shared" si="14"/>
        <v/>
      </c>
    </row>
    <row r="168" spans="1:7" ht="16.5" customHeight="1" x14ac:dyDescent="0.2">
      <c r="A168" s="6">
        <f>IF(IFERROR(G167&gt;0,FALSE()),153,"")</f>
        <v>153</v>
      </c>
      <c r="B168" s="7">
        <f>IF(IFERROR(G167&gt;0,FALSE()),EDATE($C$10,153),"")</f>
        <v>50802</v>
      </c>
      <c r="C168" s="8" t="str">
        <f t="shared" si="10"/>
        <v/>
      </c>
      <c r="D168" s="9" t="str">
        <f t="shared" si="11"/>
        <v/>
      </c>
      <c r="E168" s="10" t="str">
        <f t="shared" si="12"/>
        <v/>
      </c>
      <c r="F168" s="11" t="str">
        <f t="shared" si="13"/>
        <v/>
      </c>
      <c r="G168" s="12" t="str">
        <f t="shared" si="14"/>
        <v/>
      </c>
    </row>
    <row r="169" spans="1:7" ht="16.5" customHeight="1" x14ac:dyDescent="0.2">
      <c r="A169" s="13">
        <f>IF(IFERROR(G168&gt;0,FALSE()),154,"")</f>
        <v>154</v>
      </c>
      <c r="B169" s="14">
        <f>IF(IFERROR(G168&gt;0,FALSE()),EDATE($C$10,154),"")</f>
        <v>50830</v>
      </c>
      <c r="C169" s="15" t="str">
        <f t="shared" si="10"/>
        <v/>
      </c>
      <c r="D169" s="16" t="str">
        <f t="shared" si="11"/>
        <v/>
      </c>
      <c r="E169" s="17" t="str">
        <f t="shared" si="12"/>
        <v/>
      </c>
      <c r="F169" s="18" t="str">
        <f t="shared" si="13"/>
        <v/>
      </c>
      <c r="G169" s="19" t="str">
        <f t="shared" si="14"/>
        <v/>
      </c>
    </row>
    <row r="170" spans="1:7" ht="16.5" customHeight="1" x14ac:dyDescent="0.2">
      <c r="A170" s="6">
        <f>IF(IFERROR(G169&gt;0,FALSE()),155,"")</f>
        <v>155</v>
      </c>
      <c r="B170" s="7">
        <f>IF(IFERROR(G169&gt;0,FALSE()),EDATE($C$10,155),"")</f>
        <v>50861</v>
      </c>
      <c r="C170" s="8" t="str">
        <f t="shared" si="10"/>
        <v/>
      </c>
      <c r="D170" s="9" t="str">
        <f t="shared" si="11"/>
        <v/>
      </c>
      <c r="E170" s="10" t="str">
        <f t="shared" si="12"/>
        <v/>
      </c>
      <c r="F170" s="11" t="str">
        <f t="shared" si="13"/>
        <v/>
      </c>
      <c r="G170" s="12" t="str">
        <f t="shared" si="14"/>
        <v/>
      </c>
    </row>
    <row r="171" spans="1:7" ht="16.5" customHeight="1" x14ac:dyDescent="0.2">
      <c r="A171" s="13">
        <f>IF(IFERROR(G170&gt;0,FALSE()),156,"")</f>
        <v>156</v>
      </c>
      <c r="B171" s="14">
        <f>IF(IFERROR(G170&gt;0,FALSE()),EDATE($C$10,156),"")</f>
        <v>50891</v>
      </c>
      <c r="C171" s="15" t="str">
        <f t="shared" si="10"/>
        <v/>
      </c>
      <c r="D171" s="16" t="str">
        <f t="shared" si="11"/>
        <v/>
      </c>
      <c r="E171" s="17" t="str">
        <f t="shared" si="12"/>
        <v/>
      </c>
      <c r="F171" s="18" t="str">
        <f t="shared" si="13"/>
        <v/>
      </c>
      <c r="G171" s="19" t="str">
        <f t="shared" si="14"/>
        <v/>
      </c>
    </row>
    <row r="172" spans="1:7" ht="16.5" customHeight="1" x14ac:dyDescent="0.2">
      <c r="A172" s="6">
        <f>IF(IFERROR(G171&gt;0,FALSE()),157,"")</f>
        <v>157</v>
      </c>
      <c r="B172" s="7">
        <f>IF(IFERROR(G171&gt;0,FALSE()),EDATE($C$10,157),"")</f>
        <v>50922</v>
      </c>
      <c r="C172" s="8" t="str">
        <f t="shared" si="10"/>
        <v/>
      </c>
      <c r="D172" s="9" t="str">
        <f t="shared" si="11"/>
        <v/>
      </c>
      <c r="E172" s="10" t="str">
        <f t="shared" si="12"/>
        <v/>
      </c>
      <c r="F172" s="11" t="str">
        <f t="shared" si="13"/>
        <v/>
      </c>
      <c r="G172" s="12" t="str">
        <f t="shared" si="14"/>
        <v/>
      </c>
    </row>
    <row r="173" spans="1:7" ht="16.5" customHeight="1" x14ac:dyDescent="0.2">
      <c r="A173" s="13">
        <f>IF(IFERROR(G172&gt;0,FALSE()),158,"")</f>
        <v>158</v>
      </c>
      <c r="B173" s="14">
        <f>IF(IFERROR(G172&gt;0,FALSE()),EDATE($C$10,158),"")</f>
        <v>50952</v>
      </c>
      <c r="C173" s="15" t="str">
        <f t="shared" si="10"/>
        <v/>
      </c>
      <c r="D173" s="16" t="str">
        <f t="shared" si="11"/>
        <v/>
      </c>
      <c r="E173" s="17" t="str">
        <f t="shared" si="12"/>
        <v/>
      </c>
      <c r="F173" s="18" t="str">
        <f t="shared" si="13"/>
        <v/>
      </c>
      <c r="G173" s="19" t="str">
        <f t="shared" si="14"/>
        <v/>
      </c>
    </row>
    <row r="174" spans="1:7" ht="16.5" customHeight="1" x14ac:dyDescent="0.2">
      <c r="A174" s="6">
        <f>IF(IFERROR(G173&gt;0,FALSE()),159,"")</f>
        <v>159</v>
      </c>
      <c r="B174" s="7">
        <f>IF(IFERROR(G173&gt;0,FALSE()),EDATE($C$10,159),"")</f>
        <v>50983</v>
      </c>
      <c r="C174" s="8" t="str">
        <f t="shared" si="10"/>
        <v/>
      </c>
      <c r="D174" s="9" t="str">
        <f t="shared" si="11"/>
        <v/>
      </c>
      <c r="E174" s="10" t="str">
        <f t="shared" si="12"/>
        <v/>
      </c>
      <c r="F174" s="11" t="str">
        <f t="shared" si="13"/>
        <v/>
      </c>
      <c r="G174" s="12" t="str">
        <f t="shared" si="14"/>
        <v/>
      </c>
    </row>
    <row r="175" spans="1:7" ht="16.5" customHeight="1" x14ac:dyDescent="0.2">
      <c r="A175" s="13">
        <f>IF(IFERROR(G174&gt;0,FALSE()),160,"")</f>
        <v>160</v>
      </c>
      <c r="B175" s="14">
        <f>IF(IFERROR(G174&gt;0,FALSE()),EDATE($C$10,160),"")</f>
        <v>51014</v>
      </c>
      <c r="C175" s="15" t="str">
        <f t="shared" si="10"/>
        <v/>
      </c>
      <c r="D175" s="16" t="str">
        <f t="shared" si="11"/>
        <v/>
      </c>
      <c r="E175" s="17" t="str">
        <f t="shared" si="12"/>
        <v/>
      </c>
      <c r="F175" s="18" t="str">
        <f t="shared" si="13"/>
        <v/>
      </c>
      <c r="G175" s="19" t="str">
        <f t="shared" si="14"/>
        <v/>
      </c>
    </row>
    <row r="176" spans="1:7" ht="16.5" customHeight="1" x14ac:dyDescent="0.2">
      <c r="A176" s="6">
        <f>IF(IFERROR(G175&gt;0,FALSE()),161,"")</f>
        <v>161</v>
      </c>
      <c r="B176" s="7">
        <f>IF(IFERROR(G175&gt;0,FALSE()),EDATE($C$10,161),"")</f>
        <v>51044</v>
      </c>
      <c r="C176" s="8" t="str">
        <f t="shared" si="10"/>
        <v/>
      </c>
      <c r="D176" s="9" t="str">
        <f t="shared" si="11"/>
        <v/>
      </c>
      <c r="E176" s="10" t="str">
        <f t="shared" si="12"/>
        <v/>
      </c>
      <c r="F176" s="11" t="str">
        <f t="shared" si="13"/>
        <v/>
      </c>
      <c r="G176" s="12" t="str">
        <f t="shared" si="14"/>
        <v/>
      </c>
    </row>
    <row r="177" spans="1:7" ht="16.5" customHeight="1" x14ac:dyDescent="0.2">
      <c r="A177" s="13">
        <f>IF(IFERROR(G176&gt;0,FALSE()),162,"")</f>
        <v>162</v>
      </c>
      <c r="B177" s="14">
        <f>IF(IFERROR(G176&gt;0,FALSE()),EDATE($C$10,162),"")</f>
        <v>51075</v>
      </c>
      <c r="C177" s="15" t="str">
        <f t="shared" si="10"/>
        <v/>
      </c>
      <c r="D177" s="16" t="str">
        <f t="shared" si="11"/>
        <v/>
      </c>
      <c r="E177" s="17" t="str">
        <f t="shared" si="12"/>
        <v/>
      </c>
      <c r="F177" s="18" t="str">
        <f t="shared" si="13"/>
        <v/>
      </c>
      <c r="G177" s="19" t="str">
        <f t="shared" si="14"/>
        <v/>
      </c>
    </row>
    <row r="178" spans="1:7" ht="16.5" customHeight="1" x14ac:dyDescent="0.2">
      <c r="A178" s="6">
        <f>IF(IFERROR(G177&gt;0,FALSE()),163,"")</f>
        <v>163</v>
      </c>
      <c r="B178" s="7">
        <f>IF(IFERROR(G177&gt;0,FALSE()),EDATE($C$10,163),"")</f>
        <v>51105</v>
      </c>
      <c r="C178" s="8" t="str">
        <f t="shared" si="10"/>
        <v/>
      </c>
      <c r="D178" s="9" t="str">
        <f t="shared" si="11"/>
        <v/>
      </c>
      <c r="E178" s="10" t="str">
        <f t="shared" si="12"/>
        <v/>
      </c>
      <c r="F178" s="11" t="str">
        <f t="shared" si="13"/>
        <v/>
      </c>
      <c r="G178" s="12" t="str">
        <f t="shared" si="14"/>
        <v/>
      </c>
    </row>
    <row r="179" spans="1:7" ht="16.5" customHeight="1" x14ac:dyDescent="0.2">
      <c r="A179" s="13">
        <f>IF(IFERROR(G178&gt;0,FALSE()),164,"")</f>
        <v>164</v>
      </c>
      <c r="B179" s="14">
        <f>IF(IFERROR(G178&gt;0,FALSE()),EDATE($C$10,164),"")</f>
        <v>51136</v>
      </c>
      <c r="C179" s="15" t="str">
        <f t="shared" si="10"/>
        <v/>
      </c>
      <c r="D179" s="16" t="str">
        <f t="shared" si="11"/>
        <v/>
      </c>
      <c r="E179" s="17" t="str">
        <f t="shared" si="12"/>
        <v/>
      </c>
      <c r="F179" s="18" t="str">
        <f t="shared" si="13"/>
        <v/>
      </c>
      <c r="G179" s="19" t="str">
        <f t="shared" si="14"/>
        <v/>
      </c>
    </row>
    <row r="180" spans="1:7" ht="16.5" customHeight="1" x14ac:dyDescent="0.2">
      <c r="A180" s="6">
        <f>IF(IFERROR(G179&gt;0,FALSE()),165,"")</f>
        <v>165</v>
      </c>
      <c r="B180" s="7">
        <f>IF(IFERROR(G179&gt;0,FALSE()),EDATE($C$10,165),"")</f>
        <v>51167</v>
      </c>
      <c r="C180" s="8" t="str">
        <f t="shared" si="10"/>
        <v/>
      </c>
      <c r="D180" s="9" t="str">
        <f t="shared" si="11"/>
        <v/>
      </c>
      <c r="E180" s="10" t="str">
        <f t="shared" si="12"/>
        <v/>
      </c>
      <c r="F180" s="11" t="str">
        <f t="shared" si="13"/>
        <v/>
      </c>
      <c r="G180" s="12" t="str">
        <f t="shared" si="14"/>
        <v/>
      </c>
    </row>
    <row r="181" spans="1:7" ht="16.5" customHeight="1" x14ac:dyDescent="0.2">
      <c r="A181" s="13">
        <f>IF(IFERROR(G180&gt;0,FALSE()),166,"")</f>
        <v>166</v>
      </c>
      <c r="B181" s="14">
        <f>IF(IFERROR(G180&gt;0,FALSE()),EDATE($C$10,166),"")</f>
        <v>51196</v>
      </c>
      <c r="C181" s="15" t="str">
        <f t="shared" si="10"/>
        <v/>
      </c>
      <c r="D181" s="16" t="str">
        <f t="shared" si="11"/>
        <v/>
      </c>
      <c r="E181" s="17" t="str">
        <f t="shared" si="12"/>
        <v/>
      </c>
      <c r="F181" s="18" t="str">
        <f t="shared" si="13"/>
        <v/>
      </c>
      <c r="G181" s="19" t="str">
        <f t="shared" si="14"/>
        <v/>
      </c>
    </row>
    <row r="182" spans="1:7" ht="16.5" customHeight="1" x14ac:dyDescent="0.2">
      <c r="A182" s="6">
        <f>IF(IFERROR(G181&gt;0,FALSE()),167,"")</f>
        <v>167</v>
      </c>
      <c r="B182" s="7">
        <f>IF(IFERROR(G181&gt;0,FALSE()),EDATE($C$10,167),"")</f>
        <v>51227</v>
      </c>
      <c r="C182" s="8" t="str">
        <f t="shared" si="10"/>
        <v/>
      </c>
      <c r="D182" s="9" t="str">
        <f t="shared" si="11"/>
        <v/>
      </c>
      <c r="E182" s="10" t="str">
        <f t="shared" si="12"/>
        <v/>
      </c>
      <c r="F182" s="11" t="str">
        <f t="shared" si="13"/>
        <v/>
      </c>
      <c r="G182" s="12" t="str">
        <f t="shared" si="14"/>
        <v/>
      </c>
    </row>
    <row r="183" spans="1:7" ht="16.5" customHeight="1" x14ac:dyDescent="0.2">
      <c r="A183" s="13">
        <f>IF(IFERROR(G182&gt;0,FALSE()),168,"")</f>
        <v>168</v>
      </c>
      <c r="B183" s="14">
        <f>IF(IFERROR(G182&gt;0,FALSE()),EDATE($C$10,168),"")</f>
        <v>51257</v>
      </c>
      <c r="C183" s="15" t="str">
        <f t="shared" si="10"/>
        <v/>
      </c>
      <c r="D183" s="16" t="str">
        <f t="shared" si="11"/>
        <v/>
      </c>
      <c r="E183" s="17" t="str">
        <f t="shared" si="12"/>
        <v/>
      </c>
      <c r="F183" s="18" t="str">
        <f t="shared" si="13"/>
        <v/>
      </c>
      <c r="G183" s="19" t="str">
        <f t="shared" si="14"/>
        <v/>
      </c>
    </row>
    <row r="184" spans="1:7" ht="16.5" customHeight="1" x14ac:dyDescent="0.2">
      <c r="A184" s="6">
        <f>IF(IFERROR(G183&gt;0,FALSE()),169,"")</f>
        <v>169</v>
      </c>
      <c r="B184" s="7">
        <f>IF(IFERROR(G183&gt;0,FALSE()),EDATE($C$10,169),"")</f>
        <v>51288</v>
      </c>
      <c r="C184" s="8" t="str">
        <f t="shared" si="10"/>
        <v/>
      </c>
      <c r="D184" s="9" t="str">
        <f t="shared" si="11"/>
        <v/>
      </c>
      <c r="E184" s="10" t="str">
        <f t="shared" si="12"/>
        <v/>
      </c>
      <c r="F184" s="11" t="str">
        <f t="shared" si="13"/>
        <v/>
      </c>
      <c r="G184" s="12" t="str">
        <f t="shared" si="14"/>
        <v/>
      </c>
    </row>
    <row r="185" spans="1:7" ht="16.5" customHeight="1" x14ac:dyDescent="0.2">
      <c r="A185" s="13">
        <f>IF(IFERROR(G184&gt;0,FALSE()),170,"")</f>
        <v>170</v>
      </c>
      <c r="B185" s="14">
        <f>IF(IFERROR(G184&gt;0,FALSE()),EDATE($C$10,170),"")</f>
        <v>51318</v>
      </c>
      <c r="C185" s="15" t="str">
        <f t="shared" si="10"/>
        <v/>
      </c>
      <c r="D185" s="16" t="str">
        <f t="shared" si="11"/>
        <v/>
      </c>
      <c r="E185" s="17" t="str">
        <f t="shared" si="12"/>
        <v/>
      </c>
      <c r="F185" s="18" t="str">
        <f t="shared" si="13"/>
        <v/>
      </c>
      <c r="G185" s="19" t="str">
        <f t="shared" si="14"/>
        <v/>
      </c>
    </row>
    <row r="186" spans="1:7" ht="16.5" customHeight="1" x14ac:dyDescent="0.2">
      <c r="A186" s="6">
        <f>IF(IFERROR(G185&gt;0,FALSE()),171,"")</f>
        <v>171</v>
      </c>
      <c r="B186" s="7">
        <f>IF(IFERROR(G185&gt;0,FALSE()),EDATE($C$10,171),"")</f>
        <v>51349</v>
      </c>
      <c r="C186" s="8" t="str">
        <f t="shared" si="10"/>
        <v/>
      </c>
      <c r="D186" s="9" t="str">
        <f t="shared" si="11"/>
        <v/>
      </c>
      <c r="E186" s="10" t="str">
        <f t="shared" si="12"/>
        <v/>
      </c>
      <c r="F186" s="11" t="str">
        <f t="shared" si="13"/>
        <v/>
      </c>
      <c r="G186" s="12" t="str">
        <f t="shared" si="14"/>
        <v/>
      </c>
    </row>
    <row r="187" spans="1:7" ht="16.5" customHeight="1" x14ac:dyDescent="0.2">
      <c r="A187" s="13">
        <f>IF(IFERROR(G186&gt;0,FALSE()),172,"")</f>
        <v>172</v>
      </c>
      <c r="B187" s="14">
        <f>IF(IFERROR(G186&gt;0,FALSE()),EDATE($C$10,172),"")</f>
        <v>51380</v>
      </c>
      <c r="C187" s="15" t="str">
        <f t="shared" si="10"/>
        <v/>
      </c>
      <c r="D187" s="16" t="str">
        <f t="shared" si="11"/>
        <v/>
      </c>
      <c r="E187" s="17" t="str">
        <f t="shared" si="12"/>
        <v/>
      </c>
      <c r="F187" s="18" t="str">
        <f t="shared" si="13"/>
        <v/>
      </c>
      <c r="G187" s="19" t="str">
        <f t="shared" si="14"/>
        <v/>
      </c>
    </row>
    <row r="188" spans="1:7" ht="16.5" customHeight="1" x14ac:dyDescent="0.2">
      <c r="A188" s="6">
        <f>IF(IFERROR(G187&gt;0,FALSE()),173,"")</f>
        <v>173</v>
      </c>
      <c r="B188" s="7">
        <f>IF(IFERROR(G187&gt;0,FALSE()),EDATE($C$10,173),"")</f>
        <v>51410</v>
      </c>
      <c r="C188" s="8" t="str">
        <f t="shared" si="10"/>
        <v/>
      </c>
      <c r="D188" s="9" t="str">
        <f t="shared" si="11"/>
        <v/>
      </c>
      <c r="E188" s="10" t="str">
        <f t="shared" si="12"/>
        <v/>
      </c>
      <c r="F188" s="11" t="str">
        <f t="shared" si="13"/>
        <v/>
      </c>
      <c r="G188" s="12" t="str">
        <f t="shared" si="14"/>
        <v/>
      </c>
    </row>
    <row r="189" spans="1:7" ht="16.5" customHeight="1" x14ac:dyDescent="0.2">
      <c r="A189" s="13">
        <f>IF(IFERROR(G188&gt;0,FALSE()),174,"")</f>
        <v>174</v>
      </c>
      <c r="B189" s="14">
        <f>IF(IFERROR(G188&gt;0,FALSE()),EDATE($C$10,174),"")</f>
        <v>51441</v>
      </c>
      <c r="C189" s="15" t="str">
        <f t="shared" si="10"/>
        <v/>
      </c>
      <c r="D189" s="16" t="str">
        <f t="shared" si="11"/>
        <v/>
      </c>
      <c r="E189" s="17" t="str">
        <f t="shared" si="12"/>
        <v/>
      </c>
      <c r="F189" s="18" t="str">
        <f t="shared" si="13"/>
        <v/>
      </c>
      <c r="G189" s="19" t="str">
        <f t="shared" si="14"/>
        <v/>
      </c>
    </row>
    <row r="190" spans="1:7" ht="16.5" customHeight="1" x14ac:dyDescent="0.2">
      <c r="A190" s="6">
        <f>IF(IFERROR(G189&gt;0,FALSE()),175,"")</f>
        <v>175</v>
      </c>
      <c r="B190" s="7">
        <f>IF(IFERROR(G189&gt;0,FALSE()),EDATE($C$10,175),"")</f>
        <v>51471</v>
      </c>
      <c r="C190" s="8" t="str">
        <f t="shared" si="10"/>
        <v/>
      </c>
      <c r="D190" s="9" t="str">
        <f t="shared" si="11"/>
        <v/>
      </c>
      <c r="E190" s="10" t="str">
        <f t="shared" si="12"/>
        <v/>
      </c>
      <c r="F190" s="11" t="str">
        <f t="shared" si="13"/>
        <v/>
      </c>
      <c r="G190" s="12" t="str">
        <f t="shared" si="14"/>
        <v/>
      </c>
    </row>
    <row r="191" spans="1:7" ht="16.5" customHeight="1" x14ac:dyDescent="0.2">
      <c r="A191" s="13">
        <f>IF(IFERROR(G190&gt;0,FALSE()),176,"")</f>
        <v>176</v>
      </c>
      <c r="B191" s="14">
        <f>IF(IFERROR(G190&gt;0,FALSE()),EDATE($C$10,176),"")</f>
        <v>51502</v>
      </c>
      <c r="C191" s="15" t="str">
        <f t="shared" si="10"/>
        <v/>
      </c>
      <c r="D191" s="16" t="str">
        <f t="shared" si="11"/>
        <v/>
      </c>
      <c r="E191" s="17" t="str">
        <f t="shared" si="12"/>
        <v/>
      </c>
      <c r="F191" s="18" t="str">
        <f t="shared" si="13"/>
        <v/>
      </c>
      <c r="G191" s="19" t="str">
        <f t="shared" si="14"/>
        <v/>
      </c>
    </row>
    <row r="192" spans="1:7" ht="16.5" customHeight="1" x14ac:dyDescent="0.2">
      <c r="A192" s="6">
        <f>IF(IFERROR(G191&gt;0,FALSE()),177,"")</f>
        <v>177</v>
      </c>
      <c r="B192" s="7">
        <f>IF(IFERROR(G191&gt;0,FALSE()),EDATE($C$10,177),"")</f>
        <v>51533</v>
      </c>
      <c r="C192" s="8" t="str">
        <f t="shared" si="10"/>
        <v/>
      </c>
      <c r="D192" s="9" t="str">
        <f t="shared" si="11"/>
        <v/>
      </c>
      <c r="E192" s="10" t="str">
        <f t="shared" si="12"/>
        <v/>
      </c>
      <c r="F192" s="11" t="str">
        <f t="shared" si="13"/>
        <v/>
      </c>
      <c r="G192" s="12" t="str">
        <f t="shared" si="14"/>
        <v/>
      </c>
    </row>
    <row r="193" spans="1:7" ht="16.5" customHeight="1" x14ac:dyDescent="0.2">
      <c r="A193" s="13">
        <f>IF(IFERROR(G192&gt;0,FALSE()),178,"")</f>
        <v>178</v>
      </c>
      <c r="B193" s="14">
        <f>IF(IFERROR(G192&gt;0,FALSE()),EDATE($C$10,178),"")</f>
        <v>51561</v>
      </c>
      <c r="C193" s="15" t="str">
        <f t="shared" si="10"/>
        <v/>
      </c>
      <c r="D193" s="16" t="str">
        <f t="shared" si="11"/>
        <v/>
      </c>
      <c r="E193" s="17" t="str">
        <f t="shared" si="12"/>
        <v/>
      </c>
      <c r="F193" s="18" t="str">
        <f t="shared" si="13"/>
        <v/>
      </c>
      <c r="G193" s="19" t="str">
        <f t="shared" si="14"/>
        <v/>
      </c>
    </row>
    <row r="194" spans="1:7" ht="16.5" customHeight="1" x14ac:dyDescent="0.2">
      <c r="A194" s="6">
        <f>IF(IFERROR(G193&gt;0,FALSE()),179,"")</f>
        <v>179</v>
      </c>
      <c r="B194" s="7">
        <f>IF(IFERROR(G193&gt;0,FALSE()),EDATE($C$10,179),"")</f>
        <v>51592</v>
      </c>
      <c r="C194" s="8" t="str">
        <f t="shared" si="10"/>
        <v/>
      </c>
      <c r="D194" s="9" t="str">
        <f t="shared" si="11"/>
        <v/>
      </c>
      <c r="E194" s="10" t="str">
        <f t="shared" si="12"/>
        <v/>
      </c>
      <c r="F194" s="11" t="str">
        <f t="shared" si="13"/>
        <v/>
      </c>
      <c r="G194" s="12" t="str">
        <f t="shared" si="14"/>
        <v/>
      </c>
    </row>
    <row r="195" spans="1:7" ht="16.5" customHeight="1" x14ac:dyDescent="0.2">
      <c r="A195" s="13">
        <f>IF(IFERROR(G194&gt;0,FALSE()),180,"")</f>
        <v>180</v>
      </c>
      <c r="B195" s="14">
        <f>IF(IFERROR(G194&gt;0,FALSE()),EDATE($C$10,180),"")</f>
        <v>51622</v>
      </c>
      <c r="C195" s="15" t="str">
        <f t="shared" si="10"/>
        <v/>
      </c>
      <c r="D195" s="16" t="str">
        <f t="shared" si="11"/>
        <v/>
      </c>
      <c r="E195" s="17" t="str">
        <f t="shared" si="12"/>
        <v/>
      </c>
      <c r="F195" s="18" t="str">
        <f t="shared" si="13"/>
        <v/>
      </c>
      <c r="G195" s="19" t="str">
        <f t="shared" si="14"/>
        <v/>
      </c>
    </row>
    <row r="196" spans="1:7" ht="16.5" customHeight="1" x14ac:dyDescent="0.2">
      <c r="A196" s="6">
        <f>IF(IFERROR(G195&gt;0,FALSE()),181,"")</f>
        <v>181</v>
      </c>
      <c r="B196" s="7">
        <f>IF(IFERROR(G195&gt;0,FALSE()),EDATE($C$10,181),"")</f>
        <v>51653</v>
      </c>
      <c r="C196" s="8" t="str">
        <f t="shared" si="10"/>
        <v/>
      </c>
      <c r="D196" s="9" t="str">
        <f t="shared" si="11"/>
        <v/>
      </c>
      <c r="E196" s="10" t="str">
        <f t="shared" si="12"/>
        <v/>
      </c>
      <c r="F196" s="11" t="str">
        <f t="shared" si="13"/>
        <v/>
      </c>
      <c r="G196" s="12" t="str">
        <f t="shared" si="14"/>
        <v/>
      </c>
    </row>
    <row r="197" spans="1:7" ht="16.5" customHeight="1" x14ac:dyDescent="0.2">
      <c r="A197" s="13">
        <f>IF(IFERROR(G196&gt;0,FALSE()),182,"")</f>
        <v>182</v>
      </c>
      <c r="B197" s="14">
        <f>IF(IFERROR(G196&gt;0,FALSE()),EDATE($C$10,182),"")</f>
        <v>51683</v>
      </c>
      <c r="C197" s="15" t="str">
        <f t="shared" si="10"/>
        <v/>
      </c>
      <c r="D197" s="16" t="str">
        <f t="shared" si="11"/>
        <v/>
      </c>
      <c r="E197" s="17" t="str">
        <f t="shared" si="12"/>
        <v/>
      </c>
      <c r="F197" s="18" t="str">
        <f t="shared" si="13"/>
        <v/>
      </c>
      <c r="G197" s="19" t="str">
        <f t="shared" si="14"/>
        <v/>
      </c>
    </row>
    <row r="198" spans="1:7" ht="16.5" customHeight="1" x14ac:dyDescent="0.2">
      <c r="A198" s="6">
        <f>IF(IFERROR(G197&gt;0,FALSE()),183,"")</f>
        <v>183</v>
      </c>
      <c r="B198" s="7">
        <f>IF(IFERROR(G197&gt;0,FALSE()),EDATE($C$10,183),"")</f>
        <v>51714</v>
      </c>
      <c r="C198" s="8" t="str">
        <f t="shared" si="10"/>
        <v/>
      </c>
      <c r="D198" s="9" t="str">
        <f t="shared" si="11"/>
        <v/>
      </c>
      <c r="E198" s="10" t="str">
        <f t="shared" si="12"/>
        <v/>
      </c>
      <c r="F198" s="11" t="str">
        <f t="shared" si="13"/>
        <v/>
      </c>
      <c r="G198" s="12" t="str">
        <f t="shared" si="14"/>
        <v/>
      </c>
    </row>
    <row r="199" spans="1:7" ht="16.5" customHeight="1" x14ac:dyDescent="0.2">
      <c r="A199" s="13">
        <f>IF(IFERROR(G198&gt;0,FALSE()),184,"")</f>
        <v>184</v>
      </c>
      <c r="B199" s="14">
        <f>IF(IFERROR(G198&gt;0,FALSE()),EDATE($C$10,184),"")</f>
        <v>51745</v>
      </c>
      <c r="C199" s="15" t="str">
        <f t="shared" si="10"/>
        <v/>
      </c>
      <c r="D199" s="16" t="str">
        <f t="shared" si="11"/>
        <v/>
      </c>
      <c r="E199" s="17" t="str">
        <f t="shared" si="12"/>
        <v/>
      </c>
      <c r="F199" s="18" t="str">
        <f t="shared" si="13"/>
        <v/>
      </c>
      <c r="G199" s="19" t="str">
        <f t="shared" si="14"/>
        <v/>
      </c>
    </row>
    <row r="200" spans="1:7" ht="16.5" customHeight="1" x14ac:dyDescent="0.2">
      <c r="A200" s="6">
        <f>IF(IFERROR(G199&gt;0,FALSE()),185,"")</f>
        <v>185</v>
      </c>
      <c r="B200" s="7">
        <f>IF(IFERROR(G199&gt;0,FALSE()),EDATE($C$10,185),"")</f>
        <v>51775</v>
      </c>
      <c r="C200" s="8" t="str">
        <f t="shared" si="10"/>
        <v/>
      </c>
      <c r="D200" s="9" t="str">
        <f t="shared" si="11"/>
        <v/>
      </c>
      <c r="E200" s="10" t="str">
        <f t="shared" si="12"/>
        <v/>
      </c>
      <c r="F200" s="11" t="str">
        <f t="shared" si="13"/>
        <v/>
      </c>
      <c r="G200" s="12" t="str">
        <f t="shared" si="14"/>
        <v/>
      </c>
    </row>
    <row r="201" spans="1:7" ht="16.5" customHeight="1" x14ac:dyDescent="0.2">
      <c r="A201" s="13">
        <f>IF(IFERROR(G200&gt;0,FALSE()),186,"")</f>
        <v>186</v>
      </c>
      <c r="B201" s="14">
        <f>IF(IFERROR(G200&gt;0,FALSE()),EDATE($C$10,186),"")</f>
        <v>51806</v>
      </c>
      <c r="C201" s="15" t="str">
        <f t="shared" si="10"/>
        <v/>
      </c>
      <c r="D201" s="16" t="str">
        <f t="shared" si="11"/>
        <v/>
      </c>
      <c r="E201" s="17" t="str">
        <f t="shared" si="12"/>
        <v/>
      </c>
      <c r="F201" s="18" t="str">
        <f t="shared" si="13"/>
        <v/>
      </c>
      <c r="G201" s="19" t="str">
        <f t="shared" si="14"/>
        <v/>
      </c>
    </row>
    <row r="202" spans="1:7" ht="16.5" customHeight="1" x14ac:dyDescent="0.2">
      <c r="A202" s="6">
        <f>IF(IFERROR(G201&gt;0,FALSE()),187,"")</f>
        <v>187</v>
      </c>
      <c r="B202" s="7">
        <f>IF(IFERROR(G201&gt;0,FALSE()),EDATE($C$10,187),"")</f>
        <v>51836</v>
      </c>
      <c r="C202" s="8" t="str">
        <f t="shared" si="10"/>
        <v/>
      </c>
      <c r="D202" s="9" t="str">
        <f t="shared" si="11"/>
        <v/>
      </c>
      <c r="E202" s="10" t="str">
        <f t="shared" si="12"/>
        <v/>
      </c>
      <c r="F202" s="11" t="str">
        <f t="shared" si="13"/>
        <v/>
      </c>
      <c r="G202" s="12" t="str">
        <f t="shared" si="14"/>
        <v/>
      </c>
    </row>
    <row r="203" spans="1:7" ht="16.5" customHeight="1" x14ac:dyDescent="0.2">
      <c r="A203" s="13">
        <f>IF(IFERROR(G202&gt;0,FALSE()),188,"")</f>
        <v>188</v>
      </c>
      <c r="B203" s="14">
        <f>IF(IFERROR(G202&gt;0,FALSE()),EDATE($C$10,188),"")</f>
        <v>51867</v>
      </c>
      <c r="C203" s="15" t="str">
        <f t="shared" si="10"/>
        <v/>
      </c>
      <c r="D203" s="16" t="str">
        <f t="shared" si="11"/>
        <v/>
      </c>
      <c r="E203" s="17" t="str">
        <f t="shared" si="12"/>
        <v/>
      </c>
      <c r="F203" s="18" t="str">
        <f t="shared" si="13"/>
        <v/>
      </c>
      <c r="G203" s="19" t="str">
        <f t="shared" si="14"/>
        <v/>
      </c>
    </row>
    <row r="204" spans="1:7" ht="16.5" customHeight="1" x14ac:dyDescent="0.2">
      <c r="A204" s="6">
        <f>IF(IFERROR(G203&gt;0,FALSE()),189,"")</f>
        <v>189</v>
      </c>
      <c r="B204" s="7">
        <f>IF(IFERROR(G203&gt;0,FALSE()),EDATE($C$10,189),"")</f>
        <v>51898</v>
      </c>
      <c r="C204" s="8" t="str">
        <f t="shared" si="10"/>
        <v/>
      </c>
      <c r="D204" s="9" t="str">
        <f t="shared" si="11"/>
        <v/>
      </c>
      <c r="E204" s="10" t="str">
        <f t="shared" si="12"/>
        <v/>
      </c>
      <c r="F204" s="11" t="str">
        <f t="shared" si="13"/>
        <v/>
      </c>
      <c r="G204" s="12" t="str">
        <f t="shared" si="14"/>
        <v/>
      </c>
    </row>
    <row r="205" spans="1:7" ht="16.5" customHeight="1" x14ac:dyDescent="0.2">
      <c r="A205" s="13">
        <f>IF(IFERROR(G204&gt;0,FALSE()),190,"")</f>
        <v>190</v>
      </c>
      <c r="B205" s="14">
        <f>IF(IFERROR(G204&gt;0,FALSE()),EDATE($C$10,190),"")</f>
        <v>51926</v>
      </c>
      <c r="C205" s="15" t="str">
        <f t="shared" si="10"/>
        <v/>
      </c>
      <c r="D205" s="16" t="str">
        <f t="shared" si="11"/>
        <v/>
      </c>
      <c r="E205" s="17" t="str">
        <f t="shared" si="12"/>
        <v/>
      </c>
      <c r="F205" s="18" t="str">
        <f t="shared" si="13"/>
        <v/>
      </c>
      <c r="G205" s="19" t="str">
        <f t="shared" si="14"/>
        <v/>
      </c>
    </row>
    <row r="206" spans="1:7" ht="16.5" customHeight="1" x14ac:dyDescent="0.2">
      <c r="A206" s="6">
        <f>IF(IFERROR(G205&gt;0,FALSE()),191,"")</f>
        <v>191</v>
      </c>
      <c r="B206" s="7">
        <f>IF(IFERROR(G205&gt;0,FALSE()),EDATE($C$10,191),"")</f>
        <v>51957</v>
      </c>
      <c r="C206" s="8" t="str">
        <f t="shared" si="10"/>
        <v/>
      </c>
      <c r="D206" s="9" t="str">
        <f t="shared" si="11"/>
        <v/>
      </c>
      <c r="E206" s="10" t="str">
        <f t="shared" si="12"/>
        <v/>
      </c>
      <c r="F206" s="11" t="str">
        <f t="shared" si="13"/>
        <v/>
      </c>
      <c r="G206" s="12" t="str">
        <f t="shared" si="14"/>
        <v/>
      </c>
    </row>
    <row r="207" spans="1:7" ht="16.5" customHeight="1" x14ac:dyDescent="0.2">
      <c r="A207" s="13">
        <f>IF(IFERROR(G206&gt;0,FALSE()),192,"")</f>
        <v>192</v>
      </c>
      <c r="B207" s="14">
        <f>IF(IFERROR(G206&gt;0,FALSE()),EDATE($C$10,192),"")</f>
        <v>51987</v>
      </c>
      <c r="C207" s="15" t="str">
        <f t="shared" si="10"/>
        <v/>
      </c>
      <c r="D207" s="16" t="str">
        <f t="shared" si="11"/>
        <v/>
      </c>
      <c r="E207" s="17" t="str">
        <f t="shared" si="12"/>
        <v/>
      </c>
      <c r="F207" s="18" t="str">
        <f t="shared" si="13"/>
        <v/>
      </c>
      <c r="G207" s="19" t="str">
        <f t="shared" si="14"/>
        <v/>
      </c>
    </row>
    <row r="208" spans="1:7" ht="16.5" customHeight="1" x14ac:dyDescent="0.2">
      <c r="A208" s="6">
        <f>IF(IFERROR(G207&gt;0,FALSE()),193,"")</f>
        <v>193</v>
      </c>
      <c r="B208" s="7">
        <f>IF(IFERROR(G207&gt;0,FALSE()),EDATE($C$10,193),"")</f>
        <v>52018</v>
      </c>
      <c r="C208" s="8" t="str">
        <f t="shared" si="10"/>
        <v/>
      </c>
      <c r="D208" s="9" t="str">
        <f t="shared" si="11"/>
        <v/>
      </c>
      <c r="E208" s="10" t="str">
        <f t="shared" si="12"/>
        <v/>
      </c>
      <c r="F208" s="11" t="str">
        <f t="shared" si="13"/>
        <v/>
      </c>
      <c r="G208" s="12" t="str">
        <f t="shared" si="14"/>
        <v/>
      </c>
    </row>
    <row r="209" spans="1:7" ht="16.5" customHeight="1" x14ac:dyDescent="0.2">
      <c r="A209" s="13">
        <f>IF(IFERROR(G208&gt;0,FALSE()),194,"")</f>
        <v>194</v>
      </c>
      <c r="B209" s="14">
        <f>IF(IFERROR(G208&gt;0,FALSE()),EDATE($C$10,194),"")</f>
        <v>52048</v>
      </c>
      <c r="C209" s="15" t="str">
        <f t="shared" ref="C209:C272" si="15">IF(IFERROR(G208&gt;0,FALSE()),G208,"")</f>
        <v/>
      </c>
      <c r="D209" s="16" t="str">
        <f t="shared" ref="D209:D272" si="16">IFERROR(IF(IFERROR(G208&gt;0,FALSE()),ROUND(C209*$C$8/12,2),""),"")</f>
        <v/>
      </c>
      <c r="E209" s="17" t="str">
        <f t="shared" ref="E209:E272" si="17">IFERROR(IF(IFERROR(G208&gt;0,FALSE()),MAX(0,F209-D209),""),"")</f>
        <v/>
      </c>
      <c r="F209" s="18" t="str">
        <f t="shared" ref="F209:F272" si="18">IFERROR(IF(IFERROR(G208&gt;0,FALSE()),MIN($C$9,C209+D209),""),"")</f>
        <v/>
      </c>
      <c r="G209" s="19" t="str">
        <f t="shared" ref="G209:G272" si="19">IFERROR(IF(IFERROR(G208&gt;0,FALSE()),MAX(0,C209+D209-F209),""),"")</f>
        <v/>
      </c>
    </row>
    <row r="210" spans="1:7" ht="16.5" customHeight="1" x14ac:dyDescent="0.2">
      <c r="A210" s="6">
        <f>IF(IFERROR(G209&gt;0,FALSE()),195,"")</f>
        <v>195</v>
      </c>
      <c r="B210" s="7">
        <f>IF(IFERROR(G209&gt;0,FALSE()),EDATE($C$10,195),"")</f>
        <v>52079</v>
      </c>
      <c r="C210" s="8" t="str">
        <f t="shared" si="15"/>
        <v/>
      </c>
      <c r="D210" s="9" t="str">
        <f t="shared" si="16"/>
        <v/>
      </c>
      <c r="E210" s="10" t="str">
        <f t="shared" si="17"/>
        <v/>
      </c>
      <c r="F210" s="11" t="str">
        <f t="shared" si="18"/>
        <v/>
      </c>
      <c r="G210" s="12" t="str">
        <f t="shared" si="19"/>
        <v/>
      </c>
    </row>
    <row r="211" spans="1:7" ht="16.5" customHeight="1" x14ac:dyDescent="0.2">
      <c r="A211" s="13">
        <f>IF(IFERROR(G210&gt;0,FALSE()),196,"")</f>
        <v>196</v>
      </c>
      <c r="B211" s="14">
        <f>IF(IFERROR(G210&gt;0,FALSE()),EDATE($C$10,196),"")</f>
        <v>52110</v>
      </c>
      <c r="C211" s="15" t="str">
        <f t="shared" si="15"/>
        <v/>
      </c>
      <c r="D211" s="16" t="str">
        <f t="shared" si="16"/>
        <v/>
      </c>
      <c r="E211" s="17" t="str">
        <f t="shared" si="17"/>
        <v/>
      </c>
      <c r="F211" s="18" t="str">
        <f t="shared" si="18"/>
        <v/>
      </c>
      <c r="G211" s="19" t="str">
        <f t="shared" si="19"/>
        <v/>
      </c>
    </row>
    <row r="212" spans="1:7" ht="16.5" customHeight="1" x14ac:dyDescent="0.2">
      <c r="A212" s="6">
        <f>IF(IFERROR(G211&gt;0,FALSE()),197,"")</f>
        <v>197</v>
      </c>
      <c r="B212" s="7">
        <f>IF(IFERROR(G211&gt;0,FALSE()),EDATE($C$10,197),"")</f>
        <v>52140</v>
      </c>
      <c r="C212" s="8" t="str">
        <f t="shared" si="15"/>
        <v/>
      </c>
      <c r="D212" s="9" t="str">
        <f t="shared" si="16"/>
        <v/>
      </c>
      <c r="E212" s="10" t="str">
        <f t="shared" si="17"/>
        <v/>
      </c>
      <c r="F212" s="11" t="str">
        <f t="shared" si="18"/>
        <v/>
      </c>
      <c r="G212" s="12" t="str">
        <f t="shared" si="19"/>
        <v/>
      </c>
    </row>
    <row r="213" spans="1:7" ht="16.5" customHeight="1" x14ac:dyDescent="0.2">
      <c r="A213" s="13">
        <f>IF(IFERROR(G212&gt;0,FALSE()),198,"")</f>
        <v>198</v>
      </c>
      <c r="B213" s="14">
        <f>IF(IFERROR(G212&gt;0,FALSE()),EDATE($C$10,198),"")</f>
        <v>52171</v>
      </c>
      <c r="C213" s="15" t="str">
        <f t="shared" si="15"/>
        <v/>
      </c>
      <c r="D213" s="16" t="str">
        <f t="shared" si="16"/>
        <v/>
      </c>
      <c r="E213" s="17" t="str">
        <f t="shared" si="17"/>
        <v/>
      </c>
      <c r="F213" s="18" t="str">
        <f t="shared" si="18"/>
        <v/>
      </c>
      <c r="G213" s="19" t="str">
        <f t="shared" si="19"/>
        <v/>
      </c>
    </row>
    <row r="214" spans="1:7" ht="16.5" customHeight="1" x14ac:dyDescent="0.2">
      <c r="A214" s="6">
        <f>IF(IFERROR(G213&gt;0,FALSE()),199,"")</f>
        <v>199</v>
      </c>
      <c r="B214" s="7">
        <f>IF(IFERROR(G213&gt;0,FALSE()),EDATE($C$10,199),"")</f>
        <v>52201</v>
      </c>
      <c r="C214" s="8" t="str">
        <f t="shared" si="15"/>
        <v/>
      </c>
      <c r="D214" s="9" t="str">
        <f t="shared" si="16"/>
        <v/>
      </c>
      <c r="E214" s="10" t="str">
        <f t="shared" si="17"/>
        <v/>
      </c>
      <c r="F214" s="11" t="str">
        <f t="shared" si="18"/>
        <v/>
      </c>
      <c r="G214" s="12" t="str">
        <f t="shared" si="19"/>
        <v/>
      </c>
    </row>
    <row r="215" spans="1:7" ht="16.5" customHeight="1" x14ac:dyDescent="0.2">
      <c r="A215" s="13">
        <f>IF(IFERROR(G214&gt;0,FALSE()),200,"")</f>
        <v>200</v>
      </c>
      <c r="B215" s="14">
        <f>IF(IFERROR(G214&gt;0,FALSE()),EDATE($C$10,200),"")</f>
        <v>52232</v>
      </c>
      <c r="C215" s="15" t="str">
        <f t="shared" si="15"/>
        <v/>
      </c>
      <c r="D215" s="16" t="str">
        <f t="shared" si="16"/>
        <v/>
      </c>
      <c r="E215" s="17" t="str">
        <f t="shared" si="17"/>
        <v/>
      </c>
      <c r="F215" s="18" t="str">
        <f t="shared" si="18"/>
        <v/>
      </c>
      <c r="G215" s="19" t="str">
        <f t="shared" si="19"/>
        <v/>
      </c>
    </row>
    <row r="216" spans="1:7" ht="16.5" customHeight="1" x14ac:dyDescent="0.2">
      <c r="A216" s="6">
        <f>IF(IFERROR(G215&gt;0,FALSE()),201,"")</f>
        <v>201</v>
      </c>
      <c r="B216" s="7">
        <f>IF(IFERROR(G215&gt;0,FALSE()),EDATE($C$10,201),"")</f>
        <v>52263</v>
      </c>
      <c r="C216" s="8" t="str">
        <f t="shared" si="15"/>
        <v/>
      </c>
      <c r="D216" s="9" t="str">
        <f t="shared" si="16"/>
        <v/>
      </c>
      <c r="E216" s="10" t="str">
        <f t="shared" si="17"/>
        <v/>
      </c>
      <c r="F216" s="11" t="str">
        <f t="shared" si="18"/>
        <v/>
      </c>
      <c r="G216" s="12" t="str">
        <f t="shared" si="19"/>
        <v/>
      </c>
    </row>
    <row r="217" spans="1:7" ht="16.5" customHeight="1" x14ac:dyDescent="0.2">
      <c r="A217" s="13">
        <f>IF(IFERROR(G216&gt;0,FALSE()),202,"")</f>
        <v>202</v>
      </c>
      <c r="B217" s="14">
        <f>IF(IFERROR(G216&gt;0,FALSE()),EDATE($C$10,202),"")</f>
        <v>52291</v>
      </c>
      <c r="C217" s="15" t="str">
        <f t="shared" si="15"/>
        <v/>
      </c>
      <c r="D217" s="16" t="str">
        <f t="shared" si="16"/>
        <v/>
      </c>
      <c r="E217" s="17" t="str">
        <f t="shared" si="17"/>
        <v/>
      </c>
      <c r="F217" s="18" t="str">
        <f t="shared" si="18"/>
        <v/>
      </c>
      <c r="G217" s="19" t="str">
        <f t="shared" si="19"/>
        <v/>
      </c>
    </row>
    <row r="218" spans="1:7" ht="16.5" customHeight="1" x14ac:dyDescent="0.2">
      <c r="A218" s="6">
        <f>IF(IFERROR(G217&gt;0,FALSE()),203,"")</f>
        <v>203</v>
      </c>
      <c r="B218" s="7">
        <f>IF(IFERROR(G217&gt;0,FALSE()),EDATE($C$10,203),"")</f>
        <v>52322</v>
      </c>
      <c r="C218" s="8" t="str">
        <f t="shared" si="15"/>
        <v/>
      </c>
      <c r="D218" s="9" t="str">
        <f t="shared" si="16"/>
        <v/>
      </c>
      <c r="E218" s="10" t="str">
        <f t="shared" si="17"/>
        <v/>
      </c>
      <c r="F218" s="11" t="str">
        <f t="shared" si="18"/>
        <v/>
      </c>
      <c r="G218" s="12" t="str">
        <f t="shared" si="19"/>
        <v/>
      </c>
    </row>
    <row r="219" spans="1:7" ht="16.5" customHeight="1" x14ac:dyDescent="0.2">
      <c r="A219" s="13">
        <f>IF(IFERROR(G218&gt;0,FALSE()),204,"")</f>
        <v>204</v>
      </c>
      <c r="B219" s="14">
        <f>IF(IFERROR(G218&gt;0,FALSE()),EDATE($C$10,204),"")</f>
        <v>52352</v>
      </c>
      <c r="C219" s="15" t="str">
        <f t="shared" si="15"/>
        <v/>
      </c>
      <c r="D219" s="16" t="str">
        <f t="shared" si="16"/>
        <v/>
      </c>
      <c r="E219" s="17" t="str">
        <f t="shared" si="17"/>
        <v/>
      </c>
      <c r="F219" s="18" t="str">
        <f t="shared" si="18"/>
        <v/>
      </c>
      <c r="G219" s="19" t="str">
        <f t="shared" si="19"/>
        <v/>
      </c>
    </row>
    <row r="220" spans="1:7" ht="16.5" customHeight="1" x14ac:dyDescent="0.2">
      <c r="A220" s="6">
        <f>IF(IFERROR(G219&gt;0,FALSE()),205,"")</f>
        <v>205</v>
      </c>
      <c r="B220" s="7">
        <f>IF(IFERROR(G219&gt;0,FALSE()),EDATE($C$10,205),"")</f>
        <v>52383</v>
      </c>
      <c r="C220" s="8" t="str">
        <f t="shared" si="15"/>
        <v/>
      </c>
      <c r="D220" s="9" t="str">
        <f t="shared" si="16"/>
        <v/>
      </c>
      <c r="E220" s="10" t="str">
        <f t="shared" si="17"/>
        <v/>
      </c>
      <c r="F220" s="11" t="str">
        <f t="shared" si="18"/>
        <v/>
      </c>
      <c r="G220" s="12" t="str">
        <f t="shared" si="19"/>
        <v/>
      </c>
    </row>
    <row r="221" spans="1:7" ht="16.5" customHeight="1" x14ac:dyDescent="0.2">
      <c r="A221" s="13">
        <f>IF(IFERROR(G220&gt;0,FALSE()),206,"")</f>
        <v>206</v>
      </c>
      <c r="B221" s="14">
        <f>IF(IFERROR(G220&gt;0,FALSE()),EDATE($C$10,206),"")</f>
        <v>52413</v>
      </c>
      <c r="C221" s="15" t="str">
        <f t="shared" si="15"/>
        <v/>
      </c>
      <c r="D221" s="16" t="str">
        <f t="shared" si="16"/>
        <v/>
      </c>
      <c r="E221" s="17" t="str">
        <f t="shared" si="17"/>
        <v/>
      </c>
      <c r="F221" s="18" t="str">
        <f t="shared" si="18"/>
        <v/>
      </c>
      <c r="G221" s="19" t="str">
        <f t="shared" si="19"/>
        <v/>
      </c>
    </row>
    <row r="222" spans="1:7" ht="16.5" customHeight="1" x14ac:dyDescent="0.2">
      <c r="A222" s="6">
        <f>IF(IFERROR(G221&gt;0,FALSE()),207,"")</f>
        <v>207</v>
      </c>
      <c r="B222" s="7">
        <f>IF(IFERROR(G221&gt;0,FALSE()),EDATE($C$10,207),"")</f>
        <v>52444</v>
      </c>
      <c r="C222" s="8" t="str">
        <f t="shared" si="15"/>
        <v/>
      </c>
      <c r="D222" s="9" t="str">
        <f t="shared" si="16"/>
        <v/>
      </c>
      <c r="E222" s="10" t="str">
        <f t="shared" si="17"/>
        <v/>
      </c>
      <c r="F222" s="11" t="str">
        <f t="shared" si="18"/>
        <v/>
      </c>
      <c r="G222" s="12" t="str">
        <f t="shared" si="19"/>
        <v/>
      </c>
    </row>
    <row r="223" spans="1:7" ht="16.5" customHeight="1" x14ac:dyDescent="0.2">
      <c r="A223" s="13">
        <f>IF(IFERROR(G222&gt;0,FALSE()),208,"")</f>
        <v>208</v>
      </c>
      <c r="B223" s="14">
        <f>IF(IFERROR(G222&gt;0,FALSE()),EDATE($C$10,208),"")</f>
        <v>52475</v>
      </c>
      <c r="C223" s="15" t="str">
        <f t="shared" si="15"/>
        <v/>
      </c>
      <c r="D223" s="16" t="str">
        <f t="shared" si="16"/>
        <v/>
      </c>
      <c r="E223" s="17" t="str">
        <f t="shared" si="17"/>
        <v/>
      </c>
      <c r="F223" s="18" t="str">
        <f t="shared" si="18"/>
        <v/>
      </c>
      <c r="G223" s="19" t="str">
        <f t="shared" si="19"/>
        <v/>
      </c>
    </row>
    <row r="224" spans="1:7" ht="16.5" customHeight="1" x14ac:dyDescent="0.2">
      <c r="A224" s="6">
        <f>IF(IFERROR(G223&gt;0,FALSE()),209,"")</f>
        <v>209</v>
      </c>
      <c r="B224" s="7">
        <f>IF(IFERROR(G223&gt;0,FALSE()),EDATE($C$10,209),"")</f>
        <v>52505</v>
      </c>
      <c r="C224" s="8" t="str">
        <f t="shared" si="15"/>
        <v/>
      </c>
      <c r="D224" s="9" t="str">
        <f t="shared" si="16"/>
        <v/>
      </c>
      <c r="E224" s="10" t="str">
        <f t="shared" si="17"/>
        <v/>
      </c>
      <c r="F224" s="11" t="str">
        <f t="shared" si="18"/>
        <v/>
      </c>
      <c r="G224" s="12" t="str">
        <f t="shared" si="19"/>
        <v/>
      </c>
    </row>
    <row r="225" spans="1:7" ht="16.5" customHeight="1" x14ac:dyDescent="0.2">
      <c r="A225" s="13">
        <f>IF(IFERROR(G224&gt;0,FALSE()),210,"")</f>
        <v>210</v>
      </c>
      <c r="B225" s="14">
        <f>IF(IFERROR(G224&gt;0,FALSE()),EDATE($C$10,210),"")</f>
        <v>52536</v>
      </c>
      <c r="C225" s="15" t="str">
        <f t="shared" si="15"/>
        <v/>
      </c>
      <c r="D225" s="16" t="str">
        <f t="shared" si="16"/>
        <v/>
      </c>
      <c r="E225" s="17" t="str">
        <f t="shared" si="17"/>
        <v/>
      </c>
      <c r="F225" s="18" t="str">
        <f t="shared" si="18"/>
        <v/>
      </c>
      <c r="G225" s="19" t="str">
        <f t="shared" si="19"/>
        <v/>
      </c>
    </row>
    <row r="226" spans="1:7" ht="16.5" customHeight="1" x14ac:dyDescent="0.2">
      <c r="A226" s="6">
        <f>IF(IFERROR(G225&gt;0,FALSE()),211,"")</f>
        <v>211</v>
      </c>
      <c r="B226" s="7">
        <f>IF(IFERROR(G225&gt;0,FALSE()),EDATE($C$10,211),"")</f>
        <v>52566</v>
      </c>
      <c r="C226" s="8" t="str">
        <f t="shared" si="15"/>
        <v/>
      </c>
      <c r="D226" s="9" t="str">
        <f t="shared" si="16"/>
        <v/>
      </c>
      <c r="E226" s="10" t="str">
        <f t="shared" si="17"/>
        <v/>
      </c>
      <c r="F226" s="11" t="str">
        <f t="shared" si="18"/>
        <v/>
      </c>
      <c r="G226" s="12" t="str">
        <f t="shared" si="19"/>
        <v/>
      </c>
    </row>
    <row r="227" spans="1:7" ht="16.5" customHeight="1" x14ac:dyDescent="0.2">
      <c r="A227" s="13">
        <f>IF(IFERROR(G226&gt;0,FALSE()),212,"")</f>
        <v>212</v>
      </c>
      <c r="B227" s="14">
        <f>IF(IFERROR(G226&gt;0,FALSE()),EDATE($C$10,212),"")</f>
        <v>52597</v>
      </c>
      <c r="C227" s="15" t="str">
        <f t="shared" si="15"/>
        <v/>
      </c>
      <c r="D227" s="16" t="str">
        <f t="shared" si="16"/>
        <v/>
      </c>
      <c r="E227" s="17" t="str">
        <f t="shared" si="17"/>
        <v/>
      </c>
      <c r="F227" s="18" t="str">
        <f t="shared" si="18"/>
        <v/>
      </c>
      <c r="G227" s="19" t="str">
        <f t="shared" si="19"/>
        <v/>
      </c>
    </row>
    <row r="228" spans="1:7" ht="16.5" customHeight="1" x14ac:dyDescent="0.2">
      <c r="A228" s="6">
        <f>IF(IFERROR(G227&gt;0,FALSE()),213,"")</f>
        <v>213</v>
      </c>
      <c r="B228" s="7">
        <f>IF(IFERROR(G227&gt;0,FALSE()),EDATE($C$10,213),"")</f>
        <v>52628</v>
      </c>
      <c r="C228" s="8" t="str">
        <f t="shared" si="15"/>
        <v/>
      </c>
      <c r="D228" s="9" t="str">
        <f t="shared" si="16"/>
        <v/>
      </c>
      <c r="E228" s="10" t="str">
        <f t="shared" si="17"/>
        <v/>
      </c>
      <c r="F228" s="11" t="str">
        <f t="shared" si="18"/>
        <v/>
      </c>
      <c r="G228" s="12" t="str">
        <f t="shared" si="19"/>
        <v/>
      </c>
    </row>
    <row r="229" spans="1:7" ht="16.5" customHeight="1" x14ac:dyDescent="0.2">
      <c r="A229" s="13">
        <f>IF(IFERROR(G228&gt;0,FALSE()),214,"")</f>
        <v>214</v>
      </c>
      <c r="B229" s="14">
        <f>IF(IFERROR(G228&gt;0,FALSE()),EDATE($C$10,214),"")</f>
        <v>52657</v>
      </c>
      <c r="C229" s="15" t="str">
        <f t="shared" si="15"/>
        <v/>
      </c>
      <c r="D229" s="16" t="str">
        <f t="shared" si="16"/>
        <v/>
      </c>
      <c r="E229" s="17" t="str">
        <f t="shared" si="17"/>
        <v/>
      </c>
      <c r="F229" s="18" t="str">
        <f t="shared" si="18"/>
        <v/>
      </c>
      <c r="G229" s="19" t="str">
        <f t="shared" si="19"/>
        <v/>
      </c>
    </row>
    <row r="230" spans="1:7" ht="16.5" customHeight="1" x14ac:dyDescent="0.2">
      <c r="A230" s="6">
        <f>IF(IFERROR(G229&gt;0,FALSE()),215,"")</f>
        <v>215</v>
      </c>
      <c r="B230" s="7">
        <f>IF(IFERROR(G229&gt;0,FALSE()),EDATE($C$10,215),"")</f>
        <v>52688</v>
      </c>
      <c r="C230" s="8" t="str">
        <f t="shared" si="15"/>
        <v/>
      </c>
      <c r="D230" s="9" t="str">
        <f t="shared" si="16"/>
        <v/>
      </c>
      <c r="E230" s="10" t="str">
        <f t="shared" si="17"/>
        <v/>
      </c>
      <c r="F230" s="11" t="str">
        <f t="shared" si="18"/>
        <v/>
      </c>
      <c r="G230" s="12" t="str">
        <f t="shared" si="19"/>
        <v/>
      </c>
    </row>
    <row r="231" spans="1:7" ht="16.5" customHeight="1" x14ac:dyDescent="0.2">
      <c r="A231" s="13">
        <f>IF(IFERROR(G230&gt;0,FALSE()),216,"")</f>
        <v>216</v>
      </c>
      <c r="B231" s="14">
        <f>IF(IFERROR(G230&gt;0,FALSE()),EDATE($C$10,216),"")</f>
        <v>52718</v>
      </c>
      <c r="C231" s="15" t="str">
        <f t="shared" si="15"/>
        <v/>
      </c>
      <c r="D231" s="16" t="str">
        <f t="shared" si="16"/>
        <v/>
      </c>
      <c r="E231" s="17" t="str">
        <f t="shared" si="17"/>
        <v/>
      </c>
      <c r="F231" s="18" t="str">
        <f t="shared" si="18"/>
        <v/>
      </c>
      <c r="G231" s="19" t="str">
        <f t="shared" si="19"/>
        <v/>
      </c>
    </row>
    <row r="232" spans="1:7" ht="16.5" customHeight="1" x14ac:dyDescent="0.2">
      <c r="A232" s="6">
        <f>IF(IFERROR(G231&gt;0,FALSE()),217,"")</f>
        <v>217</v>
      </c>
      <c r="B232" s="7">
        <f>IF(IFERROR(G231&gt;0,FALSE()),EDATE($C$10,217),"")</f>
        <v>52749</v>
      </c>
      <c r="C232" s="8" t="str">
        <f t="shared" si="15"/>
        <v/>
      </c>
      <c r="D232" s="9" t="str">
        <f t="shared" si="16"/>
        <v/>
      </c>
      <c r="E232" s="10" t="str">
        <f t="shared" si="17"/>
        <v/>
      </c>
      <c r="F232" s="11" t="str">
        <f t="shared" si="18"/>
        <v/>
      </c>
      <c r="G232" s="12" t="str">
        <f t="shared" si="19"/>
        <v/>
      </c>
    </row>
    <row r="233" spans="1:7" ht="16.5" customHeight="1" x14ac:dyDescent="0.2">
      <c r="A233" s="13">
        <f>IF(IFERROR(G232&gt;0,FALSE()),218,"")</f>
        <v>218</v>
      </c>
      <c r="B233" s="14">
        <f>IF(IFERROR(G232&gt;0,FALSE()),EDATE($C$10,218),"")</f>
        <v>52779</v>
      </c>
      <c r="C233" s="15" t="str">
        <f t="shared" si="15"/>
        <v/>
      </c>
      <c r="D233" s="16" t="str">
        <f t="shared" si="16"/>
        <v/>
      </c>
      <c r="E233" s="17" t="str">
        <f t="shared" si="17"/>
        <v/>
      </c>
      <c r="F233" s="18" t="str">
        <f t="shared" si="18"/>
        <v/>
      </c>
      <c r="G233" s="19" t="str">
        <f t="shared" si="19"/>
        <v/>
      </c>
    </row>
    <row r="234" spans="1:7" ht="16.5" customHeight="1" x14ac:dyDescent="0.2">
      <c r="A234" s="6">
        <f>IF(IFERROR(G233&gt;0,FALSE()),219,"")</f>
        <v>219</v>
      </c>
      <c r="B234" s="7">
        <f>IF(IFERROR(G233&gt;0,FALSE()),EDATE($C$10,219),"")</f>
        <v>52810</v>
      </c>
      <c r="C234" s="8" t="str">
        <f t="shared" si="15"/>
        <v/>
      </c>
      <c r="D234" s="9" t="str">
        <f t="shared" si="16"/>
        <v/>
      </c>
      <c r="E234" s="10" t="str">
        <f t="shared" si="17"/>
        <v/>
      </c>
      <c r="F234" s="11" t="str">
        <f t="shared" si="18"/>
        <v/>
      </c>
      <c r="G234" s="12" t="str">
        <f t="shared" si="19"/>
        <v/>
      </c>
    </row>
    <row r="235" spans="1:7" ht="16.5" customHeight="1" x14ac:dyDescent="0.2">
      <c r="A235" s="13">
        <f>IF(IFERROR(G234&gt;0,FALSE()),220,"")</f>
        <v>220</v>
      </c>
      <c r="B235" s="14">
        <f>IF(IFERROR(G234&gt;0,FALSE()),EDATE($C$10,220),"")</f>
        <v>52841</v>
      </c>
      <c r="C235" s="15" t="str">
        <f t="shared" si="15"/>
        <v/>
      </c>
      <c r="D235" s="16" t="str">
        <f t="shared" si="16"/>
        <v/>
      </c>
      <c r="E235" s="17" t="str">
        <f t="shared" si="17"/>
        <v/>
      </c>
      <c r="F235" s="18" t="str">
        <f t="shared" si="18"/>
        <v/>
      </c>
      <c r="G235" s="19" t="str">
        <f t="shared" si="19"/>
        <v/>
      </c>
    </row>
    <row r="236" spans="1:7" ht="16.5" customHeight="1" x14ac:dyDescent="0.2">
      <c r="A236" s="6">
        <f>IF(IFERROR(G235&gt;0,FALSE()),221,"")</f>
        <v>221</v>
      </c>
      <c r="B236" s="7">
        <f>IF(IFERROR(G235&gt;0,FALSE()),EDATE($C$10,221),"")</f>
        <v>52871</v>
      </c>
      <c r="C236" s="8" t="str">
        <f t="shared" si="15"/>
        <v/>
      </c>
      <c r="D236" s="9" t="str">
        <f t="shared" si="16"/>
        <v/>
      </c>
      <c r="E236" s="10" t="str">
        <f t="shared" si="17"/>
        <v/>
      </c>
      <c r="F236" s="11" t="str">
        <f t="shared" si="18"/>
        <v/>
      </c>
      <c r="G236" s="12" t="str">
        <f t="shared" si="19"/>
        <v/>
      </c>
    </row>
    <row r="237" spans="1:7" ht="16.5" customHeight="1" x14ac:dyDescent="0.2">
      <c r="A237" s="13">
        <f>IF(IFERROR(G236&gt;0,FALSE()),222,"")</f>
        <v>222</v>
      </c>
      <c r="B237" s="14">
        <f>IF(IFERROR(G236&gt;0,FALSE()),EDATE($C$10,222),"")</f>
        <v>52902</v>
      </c>
      <c r="C237" s="15" t="str">
        <f t="shared" si="15"/>
        <v/>
      </c>
      <c r="D237" s="16" t="str">
        <f t="shared" si="16"/>
        <v/>
      </c>
      <c r="E237" s="17" t="str">
        <f t="shared" si="17"/>
        <v/>
      </c>
      <c r="F237" s="18" t="str">
        <f t="shared" si="18"/>
        <v/>
      </c>
      <c r="G237" s="19" t="str">
        <f t="shared" si="19"/>
        <v/>
      </c>
    </row>
    <row r="238" spans="1:7" ht="16.5" customHeight="1" x14ac:dyDescent="0.2">
      <c r="A238" s="6">
        <f>IF(IFERROR(G237&gt;0,FALSE()),223,"")</f>
        <v>223</v>
      </c>
      <c r="B238" s="7">
        <f>IF(IFERROR(G237&gt;0,FALSE()),EDATE($C$10,223),"")</f>
        <v>52932</v>
      </c>
      <c r="C238" s="8" t="str">
        <f t="shared" si="15"/>
        <v/>
      </c>
      <c r="D238" s="9" t="str">
        <f t="shared" si="16"/>
        <v/>
      </c>
      <c r="E238" s="10" t="str">
        <f t="shared" si="17"/>
        <v/>
      </c>
      <c r="F238" s="11" t="str">
        <f t="shared" si="18"/>
        <v/>
      </c>
      <c r="G238" s="12" t="str">
        <f t="shared" si="19"/>
        <v/>
      </c>
    </row>
    <row r="239" spans="1:7" ht="16.5" customHeight="1" x14ac:dyDescent="0.2">
      <c r="A239" s="13">
        <f>IF(IFERROR(G238&gt;0,FALSE()),224,"")</f>
        <v>224</v>
      </c>
      <c r="B239" s="14">
        <f>IF(IFERROR(G238&gt;0,FALSE()),EDATE($C$10,224),"")</f>
        <v>52963</v>
      </c>
      <c r="C239" s="15" t="str">
        <f t="shared" si="15"/>
        <v/>
      </c>
      <c r="D239" s="16" t="str">
        <f t="shared" si="16"/>
        <v/>
      </c>
      <c r="E239" s="17" t="str">
        <f t="shared" si="17"/>
        <v/>
      </c>
      <c r="F239" s="18" t="str">
        <f t="shared" si="18"/>
        <v/>
      </c>
      <c r="G239" s="19" t="str">
        <f t="shared" si="19"/>
        <v/>
      </c>
    </row>
    <row r="240" spans="1:7" ht="16.5" customHeight="1" x14ac:dyDescent="0.2">
      <c r="A240" s="6">
        <f>IF(IFERROR(G239&gt;0,FALSE()),225,"")</f>
        <v>225</v>
      </c>
      <c r="B240" s="7">
        <f>IF(IFERROR(G239&gt;0,FALSE()),EDATE($C$10,225),"")</f>
        <v>52994</v>
      </c>
      <c r="C240" s="8" t="str">
        <f t="shared" si="15"/>
        <v/>
      </c>
      <c r="D240" s="9" t="str">
        <f t="shared" si="16"/>
        <v/>
      </c>
      <c r="E240" s="10" t="str">
        <f t="shared" si="17"/>
        <v/>
      </c>
      <c r="F240" s="11" t="str">
        <f t="shared" si="18"/>
        <v/>
      </c>
      <c r="G240" s="12" t="str">
        <f t="shared" si="19"/>
        <v/>
      </c>
    </row>
    <row r="241" spans="1:7" ht="16.5" customHeight="1" x14ac:dyDescent="0.2">
      <c r="A241" s="13">
        <f>IF(IFERROR(G240&gt;0,FALSE()),226,"")</f>
        <v>226</v>
      </c>
      <c r="B241" s="14">
        <f>IF(IFERROR(G240&gt;0,FALSE()),EDATE($C$10,226),"")</f>
        <v>53022</v>
      </c>
      <c r="C241" s="15" t="str">
        <f t="shared" si="15"/>
        <v/>
      </c>
      <c r="D241" s="16" t="str">
        <f t="shared" si="16"/>
        <v/>
      </c>
      <c r="E241" s="17" t="str">
        <f t="shared" si="17"/>
        <v/>
      </c>
      <c r="F241" s="18" t="str">
        <f t="shared" si="18"/>
        <v/>
      </c>
      <c r="G241" s="19" t="str">
        <f t="shared" si="19"/>
        <v/>
      </c>
    </row>
    <row r="242" spans="1:7" ht="16.5" customHeight="1" x14ac:dyDescent="0.2">
      <c r="A242" s="6">
        <f>IF(IFERROR(G241&gt;0,FALSE()),227,"")</f>
        <v>227</v>
      </c>
      <c r="B242" s="7">
        <f>IF(IFERROR(G241&gt;0,FALSE()),EDATE($C$10,227),"")</f>
        <v>53053</v>
      </c>
      <c r="C242" s="8" t="str">
        <f t="shared" si="15"/>
        <v/>
      </c>
      <c r="D242" s="9" t="str">
        <f t="shared" si="16"/>
        <v/>
      </c>
      <c r="E242" s="10" t="str">
        <f t="shared" si="17"/>
        <v/>
      </c>
      <c r="F242" s="11" t="str">
        <f t="shared" si="18"/>
        <v/>
      </c>
      <c r="G242" s="12" t="str">
        <f t="shared" si="19"/>
        <v/>
      </c>
    </row>
    <row r="243" spans="1:7" ht="16.5" customHeight="1" x14ac:dyDescent="0.2">
      <c r="A243" s="13">
        <f>IF(IFERROR(G242&gt;0,FALSE()),228,"")</f>
        <v>228</v>
      </c>
      <c r="B243" s="14">
        <f>IF(IFERROR(G242&gt;0,FALSE()),EDATE($C$10,228),"")</f>
        <v>53083</v>
      </c>
      <c r="C243" s="15" t="str">
        <f t="shared" si="15"/>
        <v/>
      </c>
      <c r="D243" s="16" t="str">
        <f t="shared" si="16"/>
        <v/>
      </c>
      <c r="E243" s="17" t="str">
        <f t="shared" si="17"/>
        <v/>
      </c>
      <c r="F243" s="18" t="str">
        <f t="shared" si="18"/>
        <v/>
      </c>
      <c r="G243" s="19" t="str">
        <f t="shared" si="19"/>
        <v/>
      </c>
    </row>
    <row r="244" spans="1:7" ht="16.5" customHeight="1" x14ac:dyDescent="0.2">
      <c r="A244" s="6">
        <f>IF(IFERROR(G243&gt;0,FALSE()),229,"")</f>
        <v>229</v>
      </c>
      <c r="B244" s="7">
        <f>IF(IFERROR(G243&gt;0,FALSE()),EDATE($C$10,229),"")</f>
        <v>53114</v>
      </c>
      <c r="C244" s="8" t="str">
        <f t="shared" si="15"/>
        <v/>
      </c>
      <c r="D244" s="9" t="str">
        <f t="shared" si="16"/>
        <v/>
      </c>
      <c r="E244" s="10" t="str">
        <f t="shared" si="17"/>
        <v/>
      </c>
      <c r="F244" s="11" t="str">
        <f t="shared" si="18"/>
        <v/>
      </c>
      <c r="G244" s="12" t="str">
        <f t="shared" si="19"/>
        <v/>
      </c>
    </row>
    <row r="245" spans="1:7" ht="16.5" customHeight="1" x14ac:dyDescent="0.2">
      <c r="A245" s="13">
        <f>IF(IFERROR(G244&gt;0,FALSE()),230,"")</f>
        <v>230</v>
      </c>
      <c r="B245" s="14">
        <f>IF(IFERROR(G244&gt;0,FALSE()),EDATE($C$10,230),"")</f>
        <v>53144</v>
      </c>
      <c r="C245" s="15" t="str">
        <f t="shared" si="15"/>
        <v/>
      </c>
      <c r="D245" s="16" t="str">
        <f t="shared" si="16"/>
        <v/>
      </c>
      <c r="E245" s="17" t="str">
        <f t="shared" si="17"/>
        <v/>
      </c>
      <c r="F245" s="18" t="str">
        <f t="shared" si="18"/>
        <v/>
      </c>
      <c r="G245" s="19" t="str">
        <f t="shared" si="19"/>
        <v/>
      </c>
    </row>
    <row r="246" spans="1:7" ht="16.5" customHeight="1" x14ac:dyDescent="0.2">
      <c r="A246" s="6">
        <f>IF(IFERROR(G245&gt;0,FALSE()),231,"")</f>
        <v>231</v>
      </c>
      <c r="B246" s="7">
        <f>IF(IFERROR(G245&gt;0,FALSE()),EDATE($C$10,231),"")</f>
        <v>53175</v>
      </c>
      <c r="C246" s="8" t="str">
        <f t="shared" si="15"/>
        <v/>
      </c>
      <c r="D246" s="9" t="str">
        <f t="shared" si="16"/>
        <v/>
      </c>
      <c r="E246" s="10" t="str">
        <f t="shared" si="17"/>
        <v/>
      </c>
      <c r="F246" s="11" t="str">
        <f t="shared" si="18"/>
        <v/>
      </c>
      <c r="G246" s="12" t="str">
        <f t="shared" si="19"/>
        <v/>
      </c>
    </row>
    <row r="247" spans="1:7" ht="16.5" customHeight="1" x14ac:dyDescent="0.2">
      <c r="A247" s="13">
        <f>IF(IFERROR(G246&gt;0,FALSE()),232,"")</f>
        <v>232</v>
      </c>
      <c r="B247" s="14">
        <f>IF(IFERROR(G246&gt;0,FALSE()),EDATE($C$10,232),"")</f>
        <v>53206</v>
      </c>
      <c r="C247" s="15" t="str">
        <f t="shared" si="15"/>
        <v/>
      </c>
      <c r="D247" s="16" t="str">
        <f t="shared" si="16"/>
        <v/>
      </c>
      <c r="E247" s="17" t="str">
        <f t="shared" si="17"/>
        <v/>
      </c>
      <c r="F247" s="18" t="str">
        <f t="shared" si="18"/>
        <v/>
      </c>
      <c r="G247" s="19" t="str">
        <f t="shared" si="19"/>
        <v/>
      </c>
    </row>
    <row r="248" spans="1:7" ht="16.5" customHeight="1" x14ac:dyDescent="0.2">
      <c r="A248" s="6">
        <f>IF(IFERROR(G247&gt;0,FALSE()),233,"")</f>
        <v>233</v>
      </c>
      <c r="B248" s="7">
        <f>IF(IFERROR(G247&gt;0,FALSE()),EDATE($C$10,233),"")</f>
        <v>53236</v>
      </c>
      <c r="C248" s="8" t="str">
        <f t="shared" si="15"/>
        <v/>
      </c>
      <c r="D248" s="9" t="str">
        <f t="shared" si="16"/>
        <v/>
      </c>
      <c r="E248" s="10" t="str">
        <f t="shared" si="17"/>
        <v/>
      </c>
      <c r="F248" s="11" t="str">
        <f t="shared" si="18"/>
        <v/>
      </c>
      <c r="G248" s="12" t="str">
        <f t="shared" si="19"/>
        <v/>
      </c>
    </row>
    <row r="249" spans="1:7" ht="16.5" customHeight="1" x14ac:dyDescent="0.2">
      <c r="A249" s="13">
        <f>IF(IFERROR(G248&gt;0,FALSE()),234,"")</f>
        <v>234</v>
      </c>
      <c r="B249" s="14">
        <f>IF(IFERROR(G248&gt;0,FALSE()),EDATE($C$10,234),"")</f>
        <v>53267</v>
      </c>
      <c r="C249" s="15" t="str">
        <f t="shared" si="15"/>
        <v/>
      </c>
      <c r="D249" s="16" t="str">
        <f t="shared" si="16"/>
        <v/>
      </c>
      <c r="E249" s="17" t="str">
        <f t="shared" si="17"/>
        <v/>
      </c>
      <c r="F249" s="18" t="str">
        <f t="shared" si="18"/>
        <v/>
      </c>
      <c r="G249" s="19" t="str">
        <f t="shared" si="19"/>
        <v/>
      </c>
    </row>
    <row r="250" spans="1:7" ht="16.5" customHeight="1" x14ac:dyDescent="0.2">
      <c r="A250" s="6">
        <f>IF(IFERROR(G249&gt;0,FALSE()),235,"")</f>
        <v>235</v>
      </c>
      <c r="B250" s="7">
        <f>IF(IFERROR(G249&gt;0,FALSE()),EDATE($C$10,235),"")</f>
        <v>53297</v>
      </c>
      <c r="C250" s="8" t="str">
        <f t="shared" si="15"/>
        <v/>
      </c>
      <c r="D250" s="9" t="str">
        <f t="shared" si="16"/>
        <v/>
      </c>
      <c r="E250" s="10" t="str">
        <f t="shared" si="17"/>
        <v/>
      </c>
      <c r="F250" s="11" t="str">
        <f t="shared" si="18"/>
        <v/>
      </c>
      <c r="G250" s="12" t="str">
        <f t="shared" si="19"/>
        <v/>
      </c>
    </row>
    <row r="251" spans="1:7" ht="16.5" customHeight="1" x14ac:dyDescent="0.2">
      <c r="A251" s="13">
        <f>IF(IFERROR(G250&gt;0,FALSE()),236,"")</f>
        <v>236</v>
      </c>
      <c r="B251" s="14">
        <f>IF(IFERROR(G250&gt;0,FALSE()),EDATE($C$10,236),"")</f>
        <v>53328</v>
      </c>
      <c r="C251" s="15" t="str">
        <f t="shared" si="15"/>
        <v/>
      </c>
      <c r="D251" s="16" t="str">
        <f t="shared" si="16"/>
        <v/>
      </c>
      <c r="E251" s="17" t="str">
        <f t="shared" si="17"/>
        <v/>
      </c>
      <c r="F251" s="18" t="str">
        <f t="shared" si="18"/>
        <v/>
      </c>
      <c r="G251" s="19" t="str">
        <f t="shared" si="19"/>
        <v/>
      </c>
    </row>
    <row r="252" spans="1:7" ht="16.5" customHeight="1" x14ac:dyDescent="0.2">
      <c r="A252" s="6">
        <f>IF(IFERROR(G251&gt;0,FALSE()),237,"")</f>
        <v>237</v>
      </c>
      <c r="B252" s="7">
        <f>IF(IFERROR(G251&gt;0,FALSE()),EDATE($C$10,237),"")</f>
        <v>53359</v>
      </c>
      <c r="C252" s="8" t="str">
        <f t="shared" si="15"/>
        <v/>
      </c>
      <c r="D252" s="9" t="str">
        <f t="shared" si="16"/>
        <v/>
      </c>
      <c r="E252" s="10" t="str">
        <f t="shared" si="17"/>
        <v/>
      </c>
      <c r="F252" s="11" t="str">
        <f t="shared" si="18"/>
        <v/>
      </c>
      <c r="G252" s="12" t="str">
        <f t="shared" si="19"/>
        <v/>
      </c>
    </row>
    <row r="253" spans="1:7" ht="16.5" customHeight="1" x14ac:dyDescent="0.2">
      <c r="A253" s="13">
        <f>IF(IFERROR(G252&gt;0,FALSE()),238,"")</f>
        <v>238</v>
      </c>
      <c r="B253" s="14">
        <f>IF(IFERROR(G252&gt;0,FALSE()),EDATE($C$10,238),"")</f>
        <v>53387</v>
      </c>
      <c r="C253" s="15" t="str">
        <f t="shared" si="15"/>
        <v/>
      </c>
      <c r="D253" s="16" t="str">
        <f t="shared" si="16"/>
        <v/>
      </c>
      <c r="E253" s="17" t="str">
        <f t="shared" si="17"/>
        <v/>
      </c>
      <c r="F253" s="18" t="str">
        <f t="shared" si="18"/>
        <v/>
      </c>
      <c r="G253" s="19" t="str">
        <f t="shared" si="19"/>
        <v/>
      </c>
    </row>
    <row r="254" spans="1:7" ht="16.5" customHeight="1" x14ac:dyDescent="0.2">
      <c r="A254" s="6">
        <f>IF(IFERROR(G253&gt;0,FALSE()),239,"")</f>
        <v>239</v>
      </c>
      <c r="B254" s="7">
        <f>IF(IFERROR(G253&gt;0,FALSE()),EDATE($C$10,239),"")</f>
        <v>53418</v>
      </c>
      <c r="C254" s="8" t="str">
        <f t="shared" si="15"/>
        <v/>
      </c>
      <c r="D254" s="9" t="str">
        <f t="shared" si="16"/>
        <v/>
      </c>
      <c r="E254" s="10" t="str">
        <f t="shared" si="17"/>
        <v/>
      </c>
      <c r="F254" s="11" t="str">
        <f t="shared" si="18"/>
        <v/>
      </c>
      <c r="G254" s="12" t="str">
        <f t="shared" si="19"/>
        <v/>
      </c>
    </row>
    <row r="255" spans="1:7" ht="16.5" customHeight="1" x14ac:dyDescent="0.2">
      <c r="A255" s="13">
        <f>IF(IFERROR(G254&gt;0,FALSE()),240,"")</f>
        <v>240</v>
      </c>
      <c r="B255" s="14">
        <f>IF(IFERROR(G254&gt;0,FALSE()),EDATE($C$10,240),"")</f>
        <v>53448</v>
      </c>
      <c r="C255" s="15" t="str">
        <f t="shared" si="15"/>
        <v/>
      </c>
      <c r="D255" s="16" t="str">
        <f t="shared" si="16"/>
        <v/>
      </c>
      <c r="E255" s="17" t="str">
        <f t="shared" si="17"/>
        <v/>
      </c>
      <c r="F255" s="18" t="str">
        <f t="shared" si="18"/>
        <v/>
      </c>
      <c r="G255" s="19" t="str">
        <f t="shared" si="19"/>
        <v/>
      </c>
    </row>
    <row r="256" spans="1:7" ht="16.5" customHeight="1" x14ac:dyDescent="0.2">
      <c r="A256" s="6">
        <f>IF(IFERROR(G255&gt;0,FALSE()),241,"")</f>
        <v>241</v>
      </c>
      <c r="B256" s="7">
        <f>IF(IFERROR(G255&gt;0,FALSE()),EDATE($C$10,241),"")</f>
        <v>53479</v>
      </c>
      <c r="C256" s="8" t="str">
        <f t="shared" si="15"/>
        <v/>
      </c>
      <c r="D256" s="9" t="str">
        <f t="shared" si="16"/>
        <v/>
      </c>
      <c r="E256" s="10" t="str">
        <f t="shared" si="17"/>
        <v/>
      </c>
      <c r="F256" s="11" t="str">
        <f t="shared" si="18"/>
        <v/>
      </c>
      <c r="G256" s="12" t="str">
        <f t="shared" si="19"/>
        <v/>
      </c>
    </row>
    <row r="257" spans="1:7" ht="16.5" customHeight="1" x14ac:dyDescent="0.2">
      <c r="A257" s="13">
        <f>IF(IFERROR(G256&gt;0,FALSE()),242,"")</f>
        <v>242</v>
      </c>
      <c r="B257" s="14">
        <f>IF(IFERROR(G256&gt;0,FALSE()),EDATE($C$10,242),"")</f>
        <v>53509</v>
      </c>
      <c r="C257" s="15" t="str">
        <f t="shared" si="15"/>
        <v/>
      </c>
      <c r="D257" s="16" t="str">
        <f t="shared" si="16"/>
        <v/>
      </c>
      <c r="E257" s="17" t="str">
        <f t="shared" si="17"/>
        <v/>
      </c>
      <c r="F257" s="18" t="str">
        <f t="shared" si="18"/>
        <v/>
      </c>
      <c r="G257" s="19" t="str">
        <f t="shared" si="19"/>
        <v/>
      </c>
    </row>
    <row r="258" spans="1:7" ht="16.5" customHeight="1" x14ac:dyDescent="0.2">
      <c r="A258" s="6">
        <f>IF(IFERROR(G257&gt;0,FALSE()),243,"")</f>
        <v>243</v>
      </c>
      <c r="B258" s="7">
        <f>IF(IFERROR(G257&gt;0,FALSE()),EDATE($C$10,243),"")</f>
        <v>53540</v>
      </c>
      <c r="C258" s="8" t="str">
        <f t="shared" si="15"/>
        <v/>
      </c>
      <c r="D258" s="9" t="str">
        <f t="shared" si="16"/>
        <v/>
      </c>
      <c r="E258" s="10" t="str">
        <f t="shared" si="17"/>
        <v/>
      </c>
      <c r="F258" s="11" t="str">
        <f t="shared" si="18"/>
        <v/>
      </c>
      <c r="G258" s="12" t="str">
        <f t="shared" si="19"/>
        <v/>
      </c>
    </row>
    <row r="259" spans="1:7" ht="16.5" customHeight="1" x14ac:dyDescent="0.2">
      <c r="A259" s="13">
        <f>IF(IFERROR(G258&gt;0,FALSE()),244,"")</f>
        <v>244</v>
      </c>
      <c r="B259" s="14">
        <f>IF(IFERROR(G258&gt;0,FALSE()),EDATE($C$10,244),"")</f>
        <v>53571</v>
      </c>
      <c r="C259" s="15" t="str">
        <f t="shared" si="15"/>
        <v/>
      </c>
      <c r="D259" s="16" t="str">
        <f t="shared" si="16"/>
        <v/>
      </c>
      <c r="E259" s="17" t="str">
        <f t="shared" si="17"/>
        <v/>
      </c>
      <c r="F259" s="18" t="str">
        <f t="shared" si="18"/>
        <v/>
      </c>
      <c r="G259" s="19" t="str">
        <f t="shared" si="19"/>
        <v/>
      </c>
    </row>
    <row r="260" spans="1:7" ht="16.5" customHeight="1" x14ac:dyDescent="0.2">
      <c r="A260" s="6">
        <f>IF(IFERROR(G259&gt;0,FALSE()),245,"")</f>
        <v>245</v>
      </c>
      <c r="B260" s="7">
        <f>IF(IFERROR(G259&gt;0,FALSE()),EDATE($C$10,245),"")</f>
        <v>53601</v>
      </c>
      <c r="C260" s="8" t="str">
        <f t="shared" si="15"/>
        <v/>
      </c>
      <c r="D260" s="9" t="str">
        <f t="shared" si="16"/>
        <v/>
      </c>
      <c r="E260" s="10" t="str">
        <f t="shared" si="17"/>
        <v/>
      </c>
      <c r="F260" s="11" t="str">
        <f t="shared" si="18"/>
        <v/>
      </c>
      <c r="G260" s="12" t="str">
        <f t="shared" si="19"/>
        <v/>
      </c>
    </row>
    <row r="261" spans="1:7" ht="16.5" customHeight="1" x14ac:dyDescent="0.2">
      <c r="A261" s="13">
        <f>IF(IFERROR(G260&gt;0,FALSE()),246,"")</f>
        <v>246</v>
      </c>
      <c r="B261" s="14">
        <f>IF(IFERROR(G260&gt;0,FALSE()),EDATE($C$10,246),"")</f>
        <v>53632</v>
      </c>
      <c r="C261" s="15" t="str">
        <f t="shared" si="15"/>
        <v/>
      </c>
      <c r="D261" s="16" t="str">
        <f t="shared" si="16"/>
        <v/>
      </c>
      <c r="E261" s="17" t="str">
        <f t="shared" si="17"/>
        <v/>
      </c>
      <c r="F261" s="18" t="str">
        <f t="shared" si="18"/>
        <v/>
      </c>
      <c r="G261" s="19" t="str">
        <f t="shared" si="19"/>
        <v/>
      </c>
    </row>
    <row r="262" spans="1:7" ht="16.5" customHeight="1" x14ac:dyDescent="0.2">
      <c r="A262" s="6">
        <f>IF(IFERROR(G261&gt;0,FALSE()),247,"")</f>
        <v>247</v>
      </c>
      <c r="B262" s="7">
        <f>IF(IFERROR(G261&gt;0,FALSE()),EDATE($C$10,247),"")</f>
        <v>53662</v>
      </c>
      <c r="C262" s="8" t="str">
        <f t="shared" si="15"/>
        <v/>
      </c>
      <c r="D262" s="9" t="str">
        <f t="shared" si="16"/>
        <v/>
      </c>
      <c r="E262" s="10" t="str">
        <f t="shared" si="17"/>
        <v/>
      </c>
      <c r="F262" s="11" t="str">
        <f t="shared" si="18"/>
        <v/>
      </c>
      <c r="G262" s="12" t="str">
        <f t="shared" si="19"/>
        <v/>
      </c>
    </row>
    <row r="263" spans="1:7" ht="16.5" customHeight="1" x14ac:dyDescent="0.2">
      <c r="A263" s="13">
        <f>IF(IFERROR(G262&gt;0,FALSE()),248,"")</f>
        <v>248</v>
      </c>
      <c r="B263" s="14">
        <f>IF(IFERROR(G262&gt;0,FALSE()),EDATE($C$10,248),"")</f>
        <v>53693</v>
      </c>
      <c r="C263" s="15" t="str">
        <f t="shared" si="15"/>
        <v/>
      </c>
      <c r="D263" s="16" t="str">
        <f t="shared" si="16"/>
        <v/>
      </c>
      <c r="E263" s="17" t="str">
        <f t="shared" si="17"/>
        <v/>
      </c>
      <c r="F263" s="18" t="str">
        <f t="shared" si="18"/>
        <v/>
      </c>
      <c r="G263" s="19" t="str">
        <f t="shared" si="19"/>
        <v/>
      </c>
    </row>
    <row r="264" spans="1:7" ht="16.5" customHeight="1" x14ac:dyDescent="0.2">
      <c r="A264" s="6">
        <f>IF(IFERROR(G263&gt;0,FALSE()),249,"")</f>
        <v>249</v>
      </c>
      <c r="B264" s="7">
        <f>IF(IFERROR(G263&gt;0,FALSE()),EDATE($C$10,249),"")</f>
        <v>53724</v>
      </c>
      <c r="C264" s="8" t="str">
        <f t="shared" si="15"/>
        <v/>
      </c>
      <c r="D264" s="9" t="str">
        <f t="shared" si="16"/>
        <v/>
      </c>
      <c r="E264" s="10" t="str">
        <f t="shared" si="17"/>
        <v/>
      </c>
      <c r="F264" s="11" t="str">
        <f t="shared" si="18"/>
        <v/>
      </c>
      <c r="G264" s="12" t="str">
        <f t="shared" si="19"/>
        <v/>
      </c>
    </row>
    <row r="265" spans="1:7" ht="16.5" customHeight="1" x14ac:dyDescent="0.2">
      <c r="A265" s="13">
        <f>IF(IFERROR(G264&gt;0,FALSE()),250,"")</f>
        <v>250</v>
      </c>
      <c r="B265" s="14">
        <f>IF(IFERROR(G264&gt;0,FALSE()),EDATE($C$10,250),"")</f>
        <v>53752</v>
      </c>
      <c r="C265" s="15" t="str">
        <f t="shared" si="15"/>
        <v/>
      </c>
      <c r="D265" s="16" t="str">
        <f t="shared" si="16"/>
        <v/>
      </c>
      <c r="E265" s="17" t="str">
        <f t="shared" si="17"/>
        <v/>
      </c>
      <c r="F265" s="18" t="str">
        <f t="shared" si="18"/>
        <v/>
      </c>
      <c r="G265" s="19" t="str">
        <f t="shared" si="19"/>
        <v/>
      </c>
    </row>
    <row r="266" spans="1:7" ht="16.5" customHeight="1" x14ac:dyDescent="0.2">
      <c r="A266" s="6">
        <f>IF(IFERROR(G265&gt;0,FALSE()),251,"")</f>
        <v>251</v>
      </c>
      <c r="B266" s="7">
        <f>IF(IFERROR(G265&gt;0,FALSE()),EDATE($C$10,251),"")</f>
        <v>53783</v>
      </c>
      <c r="C266" s="8" t="str">
        <f t="shared" si="15"/>
        <v/>
      </c>
      <c r="D266" s="9" t="str">
        <f t="shared" si="16"/>
        <v/>
      </c>
      <c r="E266" s="10" t="str">
        <f t="shared" si="17"/>
        <v/>
      </c>
      <c r="F266" s="11" t="str">
        <f t="shared" si="18"/>
        <v/>
      </c>
      <c r="G266" s="12" t="str">
        <f t="shared" si="19"/>
        <v/>
      </c>
    </row>
    <row r="267" spans="1:7" ht="16.5" customHeight="1" x14ac:dyDescent="0.2">
      <c r="A267" s="13">
        <f>IF(IFERROR(G266&gt;0,FALSE()),252,"")</f>
        <v>252</v>
      </c>
      <c r="B267" s="14">
        <f>IF(IFERROR(G266&gt;0,FALSE()),EDATE($C$10,252),"")</f>
        <v>53813</v>
      </c>
      <c r="C267" s="15" t="str">
        <f t="shared" si="15"/>
        <v/>
      </c>
      <c r="D267" s="16" t="str">
        <f t="shared" si="16"/>
        <v/>
      </c>
      <c r="E267" s="17" t="str">
        <f t="shared" si="17"/>
        <v/>
      </c>
      <c r="F267" s="18" t="str">
        <f t="shared" si="18"/>
        <v/>
      </c>
      <c r="G267" s="19" t="str">
        <f t="shared" si="19"/>
        <v/>
      </c>
    </row>
    <row r="268" spans="1:7" ht="16.5" customHeight="1" x14ac:dyDescent="0.2">
      <c r="A268" s="6">
        <f>IF(IFERROR(G267&gt;0,FALSE()),253,"")</f>
        <v>253</v>
      </c>
      <c r="B268" s="7">
        <f>IF(IFERROR(G267&gt;0,FALSE()),EDATE($C$10,253),"")</f>
        <v>53844</v>
      </c>
      <c r="C268" s="8" t="str">
        <f t="shared" si="15"/>
        <v/>
      </c>
      <c r="D268" s="9" t="str">
        <f t="shared" si="16"/>
        <v/>
      </c>
      <c r="E268" s="10" t="str">
        <f t="shared" si="17"/>
        <v/>
      </c>
      <c r="F268" s="11" t="str">
        <f t="shared" si="18"/>
        <v/>
      </c>
      <c r="G268" s="12" t="str">
        <f t="shared" si="19"/>
        <v/>
      </c>
    </row>
    <row r="269" spans="1:7" ht="16.5" customHeight="1" x14ac:dyDescent="0.2">
      <c r="A269" s="13">
        <f>IF(IFERROR(G268&gt;0,FALSE()),254,"")</f>
        <v>254</v>
      </c>
      <c r="B269" s="14">
        <f>IF(IFERROR(G268&gt;0,FALSE()),EDATE($C$10,254),"")</f>
        <v>53874</v>
      </c>
      <c r="C269" s="15" t="str">
        <f t="shared" si="15"/>
        <v/>
      </c>
      <c r="D269" s="16" t="str">
        <f t="shared" si="16"/>
        <v/>
      </c>
      <c r="E269" s="17" t="str">
        <f t="shared" si="17"/>
        <v/>
      </c>
      <c r="F269" s="18" t="str">
        <f t="shared" si="18"/>
        <v/>
      </c>
      <c r="G269" s="19" t="str">
        <f t="shared" si="19"/>
        <v/>
      </c>
    </row>
    <row r="270" spans="1:7" ht="16.5" customHeight="1" x14ac:dyDescent="0.2">
      <c r="A270" s="6">
        <f>IF(IFERROR(G269&gt;0,FALSE()),255,"")</f>
        <v>255</v>
      </c>
      <c r="B270" s="7">
        <f>IF(IFERROR(G269&gt;0,FALSE()),EDATE($C$10,255),"")</f>
        <v>53905</v>
      </c>
      <c r="C270" s="8" t="str">
        <f t="shared" si="15"/>
        <v/>
      </c>
      <c r="D270" s="9" t="str">
        <f t="shared" si="16"/>
        <v/>
      </c>
      <c r="E270" s="10" t="str">
        <f t="shared" si="17"/>
        <v/>
      </c>
      <c r="F270" s="11" t="str">
        <f t="shared" si="18"/>
        <v/>
      </c>
      <c r="G270" s="12" t="str">
        <f t="shared" si="19"/>
        <v/>
      </c>
    </row>
    <row r="271" spans="1:7" ht="16.5" customHeight="1" x14ac:dyDescent="0.2">
      <c r="A271" s="13">
        <f>IF(IFERROR(G270&gt;0,FALSE()),256,"")</f>
        <v>256</v>
      </c>
      <c r="B271" s="14">
        <f>IF(IFERROR(G270&gt;0,FALSE()),EDATE($C$10,256),"")</f>
        <v>53936</v>
      </c>
      <c r="C271" s="15" t="str">
        <f t="shared" si="15"/>
        <v/>
      </c>
      <c r="D271" s="16" t="str">
        <f t="shared" si="16"/>
        <v/>
      </c>
      <c r="E271" s="17" t="str">
        <f t="shared" si="17"/>
        <v/>
      </c>
      <c r="F271" s="18" t="str">
        <f t="shared" si="18"/>
        <v/>
      </c>
      <c r="G271" s="19" t="str">
        <f t="shared" si="19"/>
        <v/>
      </c>
    </row>
    <row r="272" spans="1:7" ht="16.5" customHeight="1" x14ac:dyDescent="0.2">
      <c r="A272" s="6">
        <f>IF(IFERROR(G271&gt;0,FALSE()),257,"")</f>
        <v>257</v>
      </c>
      <c r="B272" s="7">
        <f>IF(IFERROR(G271&gt;0,FALSE()),EDATE($C$10,257),"")</f>
        <v>53966</v>
      </c>
      <c r="C272" s="8" t="str">
        <f t="shared" si="15"/>
        <v/>
      </c>
      <c r="D272" s="9" t="str">
        <f t="shared" si="16"/>
        <v/>
      </c>
      <c r="E272" s="10" t="str">
        <f t="shared" si="17"/>
        <v/>
      </c>
      <c r="F272" s="11" t="str">
        <f t="shared" si="18"/>
        <v/>
      </c>
      <c r="G272" s="12" t="str">
        <f t="shared" si="19"/>
        <v/>
      </c>
    </row>
    <row r="273" spans="1:7" ht="16.5" customHeight="1" x14ac:dyDescent="0.2">
      <c r="A273" s="13">
        <f>IF(IFERROR(G272&gt;0,FALSE()),258,"")</f>
        <v>258</v>
      </c>
      <c r="B273" s="14">
        <f>IF(IFERROR(G272&gt;0,FALSE()),EDATE($C$10,258),"")</f>
        <v>53997</v>
      </c>
      <c r="C273" s="15" t="str">
        <f t="shared" ref="C273:C336" si="20">IF(IFERROR(G272&gt;0,FALSE()),G272,"")</f>
        <v/>
      </c>
      <c r="D273" s="16" t="str">
        <f t="shared" ref="D273:D336" si="21">IFERROR(IF(IFERROR(G272&gt;0,FALSE()),ROUND(C273*$C$8/12,2),""),"")</f>
        <v/>
      </c>
      <c r="E273" s="17" t="str">
        <f t="shared" ref="E273:E336" si="22">IFERROR(IF(IFERROR(G272&gt;0,FALSE()),MAX(0,F273-D273),""),"")</f>
        <v/>
      </c>
      <c r="F273" s="18" t="str">
        <f t="shared" ref="F273:F336" si="23">IFERROR(IF(IFERROR(G272&gt;0,FALSE()),MIN($C$9,C273+D273),""),"")</f>
        <v/>
      </c>
      <c r="G273" s="19" t="str">
        <f t="shared" ref="G273:G336" si="24">IFERROR(IF(IFERROR(G272&gt;0,FALSE()),MAX(0,C273+D273-F273),""),"")</f>
        <v/>
      </c>
    </row>
    <row r="274" spans="1:7" ht="16.5" customHeight="1" x14ac:dyDescent="0.2">
      <c r="A274" s="6">
        <f>IF(IFERROR(G273&gt;0,FALSE()),259,"")</f>
        <v>259</v>
      </c>
      <c r="B274" s="7">
        <f>IF(IFERROR(G273&gt;0,FALSE()),EDATE($C$10,259),"")</f>
        <v>54027</v>
      </c>
      <c r="C274" s="8" t="str">
        <f t="shared" si="20"/>
        <v/>
      </c>
      <c r="D274" s="9" t="str">
        <f t="shared" si="21"/>
        <v/>
      </c>
      <c r="E274" s="10" t="str">
        <f t="shared" si="22"/>
        <v/>
      </c>
      <c r="F274" s="11" t="str">
        <f t="shared" si="23"/>
        <v/>
      </c>
      <c r="G274" s="12" t="str">
        <f t="shared" si="24"/>
        <v/>
      </c>
    </row>
    <row r="275" spans="1:7" ht="16.5" customHeight="1" x14ac:dyDescent="0.2">
      <c r="A275" s="13">
        <f>IF(IFERROR(G274&gt;0,FALSE()),260,"")</f>
        <v>260</v>
      </c>
      <c r="B275" s="14">
        <f>IF(IFERROR(G274&gt;0,FALSE()),EDATE($C$10,260),"")</f>
        <v>54058</v>
      </c>
      <c r="C275" s="15" t="str">
        <f t="shared" si="20"/>
        <v/>
      </c>
      <c r="D275" s="16" t="str">
        <f t="shared" si="21"/>
        <v/>
      </c>
      <c r="E275" s="17" t="str">
        <f t="shared" si="22"/>
        <v/>
      </c>
      <c r="F275" s="18" t="str">
        <f t="shared" si="23"/>
        <v/>
      </c>
      <c r="G275" s="19" t="str">
        <f t="shared" si="24"/>
        <v/>
      </c>
    </row>
    <row r="276" spans="1:7" ht="16.5" customHeight="1" x14ac:dyDescent="0.2">
      <c r="A276" s="6">
        <f>IF(IFERROR(G275&gt;0,FALSE()),261,"")</f>
        <v>261</v>
      </c>
      <c r="B276" s="7">
        <f>IF(IFERROR(G275&gt;0,FALSE()),EDATE($C$10,261),"")</f>
        <v>54089</v>
      </c>
      <c r="C276" s="8" t="str">
        <f t="shared" si="20"/>
        <v/>
      </c>
      <c r="D276" s="9" t="str">
        <f t="shared" si="21"/>
        <v/>
      </c>
      <c r="E276" s="10" t="str">
        <f t="shared" si="22"/>
        <v/>
      </c>
      <c r="F276" s="11" t="str">
        <f t="shared" si="23"/>
        <v/>
      </c>
      <c r="G276" s="12" t="str">
        <f t="shared" si="24"/>
        <v/>
      </c>
    </row>
    <row r="277" spans="1:7" ht="16.5" customHeight="1" x14ac:dyDescent="0.2">
      <c r="A277" s="13">
        <f>IF(IFERROR(G276&gt;0,FALSE()),262,"")</f>
        <v>262</v>
      </c>
      <c r="B277" s="14">
        <f>IF(IFERROR(G276&gt;0,FALSE()),EDATE($C$10,262),"")</f>
        <v>54118</v>
      </c>
      <c r="C277" s="15" t="str">
        <f t="shared" si="20"/>
        <v/>
      </c>
      <c r="D277" s="16" t="str">
        <f t="shared" si="21"/>
        <v/>
      </c>
      <c r="E277" s="17" t="str">
        <f t="shared" si="22"/>
        <v/>
      </c>
      <c r="F277" s="18" t="str">
        <f t="shared" si="23"/>
        <v/>
      </c>
      <c r="G277" s="19" t="str">
        <f t="shared" si="24"/>
        <v/>
      </c>
    </row>
    <row r="278" spans="1:7" ht="16.5" customHeight="1" x14ac:dyDescent="0.2">
      <c r="A278" s="6">
        <f>IF(IFERROR(G277&gt;0,FALSE()),263,"")</f>
        <v>263</v>
      </c>
      <c r="B278" s="7">
        <f>IF(IFERROR(G277&gt;0,FALSE()),EDATE($C$10,263),"")</f>
        <v>54149</v>
      </c>
      <c r="C278" s="8" t="str">
        <f t="shared" si="20"/>
        <v/>
      </c>
      <c r="D278" s="9" t="str">
        <f t="shared" si="21"/>
        <v/>
      </c>
      <c r="E278" s="10" t="str">
        <f t="shared" si="22"/>
        <v/>
      </c>
      <c r="F278" s="11" t="str">
        <f t="shared" si="23"/>
        <v/>
      </c>
      <c r="G278" s="12" t="str">
        <f t="shared" si="24"/>
        <v/>
      </c>
    </row>
    <row r="279" spans="1:7" ht="16.5" customHeight="1" x14ac:dyDescent="0.2">
      <c r="A279" s="13">
        <f>IF(IFERROR(G278&gt;0,FALSE()),264,"")</f>
        <v>264</v>
      </c>
      <c r="B279" s="14">
        <f>IF(IFERROR(G278&gt;0,FALSE()),EDATE($C$10,264),"")</f>
        <v>54179</v>
      </c>
      <c r="C279" s="15" t="str">
        <f t="shared" si="20"/>
        <v/>
      </c>
      <c r="D279" s="16" t="str">
        <f t="shared" si="21"/>
        <v/>
      </c>
      <c r="E279" s="17" t="str">
        <f t="shared" si="22"/>
        <v/>
      </c>
      <c r="F279" s="18" t="str">
        <f t="shared" si="23"/>
        <v/>
      </c>
      <c r="G279" s="19" t="str">
        <f t="shared" si="24"/>
        <v/>
      </c>
    </row>
    <row r="280" spans="1:7" ht="16.5" customHeight="1" x14ac:dyDescent="0.2">
      <c r="A280" s="6">
        <f>IF(IFERROR(G279&gt;0,FALSE()),265,"")</f>
        <v>265</v>
      </c>
      <c r="B280" s="7">
        <f>IF(IFERROR(G279&gt;0,FALSE()),EDATE($C$10,265),"")</f>
        <v>54210</v>
      </c>
      <c r="C280" s="8" t="str">
        <f t="shared" si="20"/>
        <v/>
      </c>
      <c r="D280" s="9" t="str">
        <f t="shared" si="21"/>
        <v/>
      </c>
      <c r="E280" s="10" t="str">
        <f t="shared" si="22"/>
        <v/>
      </c>
      <c r="F280" s="11" t="str">
        <f t="shared" si="23"/>
        <v/>
      </c>
      <c r="G280" s="12" t="str">
        <f t="shared" si="24"/>
        <v/>
      </c>
    </row>
    <row r="281" spans="1:7" ht="16.5" customHeight="1" x14ac:dyDescent="0.2">
      <c r="A281" s="13">
        <f>IF(IFERROR(G280&gt;0,FALSE()),266,"")</f>
        <v>266</v>
      </c>
      <c r="B281" s="14">
        <f>IF(IFERROR(G280&gt;0,FALSE()),EDATE($C$10,266),"")</f>
        <v>54240</v>
      </c>
      <c r="C281" s="15" t="str">
        <f t="shared" si="20"/>
        <v/>
      </c>
      <c r="D281" s="16" t="str">
        <f t="shared" si="21"/>
        <v/>
      </c>
      <c r="E281" s="17" t="str">
        <f t="shared" si="22"/>
        <v/>
      </c>
      <c r="F281" s="18" t="str">
        <f t="shared" si="23"/>
        <v/>
      </c>
      <c r="G281" s="19" t="str">
        <f t="shared" si="24"/>
        <v/>
      </c>
    </row>
    <row r="282" spans="1:7" ht="16.5" customHeight="1" x14ac:dyDescent="0.2">
      <c r="A282" s="6">
        <f>IF(IFERROR(G281&gt;0,FALSE()),267,"")</f>
        <v>267</v>
      </c>
      <c r="B282" s="7">
        <f>IF(IFERROR(G281&gt;0,FALSE()),EDATE($C$10,267),"")</f>
        <v>54271</v>
      </c>
      <c r="C282" s="8" t="str">
        <f t="shared" si="20"/>
        <v/>
      </c>
      <c r="D282" s="9" t="str">
        <f t="shared" si="21"/>
        <v/>
      </c>
      <c r="E282" s="10" t="str">
        <f t="shared" si="22"/>
        <v/>
      </c>
      <c r="F282" s="11" t="str">
        <f t="shared" si="23"/>
        <v/>
      </c>
      <c r="G282" s="12" t="str">
        <f t="shared" si="24"/>
        <v/>
      </c>
    </row>
    <row r="283" spans="1:7" ht="16.5" customHeight="1" x14ac:dyDescent="0.2">
      <c r="A283" s="13">
        <f>IF(IFERROR(G282&gt;0,FALSE()),268,"")</f>
        <v>268</v>
      </c>
      <c r="B283" s="14">
        <f>IF(IFERROR(G282&gt;0,FALSE()),EDATE($C$10,268),"")</f>
        <v>54302</v>
      </c>
      <c r="C283" s="15" t="str">
        <f t="shared" si="20"/>
        <v/>
      </c>
      <c r="D283" s="16" t="str">
        <f t="shared" si="21"/>
        <v/>
      </c>
      <c r="E283" s="17" t="str">
        <f t="shared" si="22"/>
        <v/>
      </c>
      <c r="F283" s="18" t="str">
        <f t="shared" si="23"/>
        <v/>
      </c>
      <c r="G283" s="19" t="str">
        <f t="shared" si="24"/>
        <v/>
      </c>
    </row>
    <row r="284" spans="1:7" ht="16.5" customHeight="1" x14ac:dyDescent="0.2">
      <c r="A284" s="6">
        <f>IF(IFERROR(G283&gt;0,FALSE()),269,"")</f>
        <v>269</v>
      </c>
      <c r="B284" s="7">
        <f>IF(IFERROR(G283&gt;0,FALSE()),EDATE($C$10,269),"")</f>
        <v>54332</v>
      </c>
      <c r="C284" s="8" t="str">
        <f t="shared" si="20"/>
        <v/>
      </c>
      <c r="D284" s="9" t="str">
        <f t="shared" si="21"/>
        <v/>
      </c>
      <c r="E284" s="10" t="str">
        <f t="shared" si="22"/>
        <v/>
      </c>
      <c r="F284" s="11" t="str">
        <f t="shared" si="23"/>
        <v/>
      </c>
      <c r="G284" s="12" t="str">
        <f t="shared" si="24"/>
        <v/>
      </c>
    </row>
    <row r="285" spans="1:7" ht="16.5" customHeight="1" x14ac:dyDescent="0.2">
      <c r="A285" s="13">
        <f>IF(IFERROR(G284&gt;0,FALSE()),270,"")</f>
        <v>270</v>
      </c>
      <c r="B285" s="14">
        <f>IF(IFERROR(G284&gt;0,FALSE()),EDATE($C$10,270),"")</f>
        <v>54363</v>
      </c>
      <c r="C285" s="15" t="str">
        <f t="shared" si="20"/>
        <v/>
      </c>
      <c r="D285" s="16" t="str">
        <f t="shared" si="21"/>
        <v/>
      </c>
      <c r="E285" s="17" t="str">
        <f t="shared" si="22"/>
        <v/>
      </c>
      <c r="F285" s="18" t="str">
        <f t="shared" si="23"/>
        <v/>
      </c>
      <c r="G285" s="19" t="str">
        <f t="shared" si="24"/>
        <v/>
      </c>
    </row>
    <row r="286" spans="1:7" ht="16.5" customHeight="1" x14ac:dyDescent="0.2">
      <c r="A286" s="6">
        <f>IF(IFERROR(G285&gt;0,FALSE()),271,"")</f>
        <v>271</v>
      </c>
      <c r="B286" s="7">
        <f>IF(IFERROR(G285&gt;0,FALSE()),EDATE($C$10,271),"")</f>
        <v>54393</v>
      </c>
      <c r="C286" s="8" t="str">
        <f t="shared" si="20"/>
        <v/>
      </c>
      <c r="D286" s="9" t="str">
        <f t="shared" si="21"/>
        <v/>
      </c>
      <c r="E286" s="10" t="str">
        <f t="shared" si="22"/>
        <v/>
      </c>
      <c r="F286" s="11" t="str">
        <f t="shared" si="23"/>
        <v/>
      </c>
      <c r="G286" s="12" t="str">
        <f t="shared" si="24"/>
        <v/>
      </c>
    </row>
    <row r="287" spans="1:7" ht="16.5" customHeight="1" x14ac:dyDescent="0.2">
      <c r="A287" s="13">
        <f>IF(IFERROR(G286&gt;0,FALSE()),272,"")</f>
        <v>272</v>
      </c>
      <c r="B287" s="14">
        <f>IF(IFERROR(G286&gt;0,FALSE()),EDATE($C$10,272),"")</f>
        <v>54424</v>
      </c>
      <c r="C287" s="15" t="str">
        <f t="shared" si="20"/>
        <v/>
      </c>
      <c r="D287" s="16" t="str">
        <f t="shared" si="21"/>
        <v/>
      </c>
      <c r="E287" s="17" t="str">
        <f t="shared" si="22"/>
        <v/>
      </c>
      <c r="F287" s="18" t="str">
        <f t="shared" si="23"/>
        <v/>
      </c>
      <c r="G287" s="19" t="str">
        <f t="shared" si="24"/>
        <v/>
      </c>
    </row>
    <row r="288" spans="1:7" ht="16.5" customHeight="1" x14ac:dyDescent="0.2">
      <c r="A288" s="6">
        <f>IF(IFERROR(G287&gt;0,FALSE()),273,"")</f>
        <v>273</v>
      </c>
      <c r="B288" s="7">
        <f>IF(IFERROR(G287&gt;0,FALSE()),EDATE($C$10,273),"")</f>
        <v>54455</v>
      </c>
      <c r="C288" s="8" t="str">
        <f t="shared" si="20"/>
        <v/>
      </c>
      <c r="D288" s="9" t="str">
        <f t="shared" si="21"/>
        <v/>
      </c>
      <c r="E288" s="10" t="str">
        <f t="shared" si="22"/>
        <v/>
      </c>
      <c r="F288" s="11" t="str">
        <f t="shared" si="23"/>
        <v/>
      </c>
      <c r="G288" s="12" t="str">
        <f t="shared" si="24"/>
        <v/>
      </c>
    </row>
    <row r="289" spans="1:7" ht="16.5" customHeight="1" x14ac:dyDescent="0.2">
      <c r="A289" s="13">
        <f>IF(IFERROR(G288&gt;0,FALSE()),274,"")</f>
        <v>274</v>
      </c>
      <c r="B289" s="14">
        <f>IF(IFERROR(G288&gt;0,FALSE()),EDATE($C$10,274),"")</f>
        <v>54483</v>
      </c>
      <c r="C289" s="15" t="str">
        <f t="shared" si="20"/>
        <v/>
      </c>
      <c r="D289" s="16" t="str">
        <f t="shared" si="21"/>
        <v/>
      </c>
      <c r="E289" s="17" t="str">
        <f t="shared" si="22"/>
        <v/>
      </c>
      <c r="F289" s="18" t="str">
        <f t="shared" si="23"/>
        <v/>
      </c>
      <c r="G289" s="19" t="str">
        <f t="shared" si="24"/>
        <v/>
      </c>
    </row>
    <row r="290" spans="1:7" ht="16.5" customHeight="1" x14ac:dyDescent="0.2">
      <c r="A290" s="6">
        <f>IF(IFERROR(G289&gt;0,FALSE()),275,"")</f>
        <v>275</v>
      </c>
      <c r="B290" s="7">
        <f>IF(IFERROR(G289&gt;0,FALSE()),EDATE($C$10,275),"")</f>
        <v>54514</v>
      </c>
      <c r="C290" s="8" t="str">
        <f t="shared" si="20"/>
        <v/>
      </c>
      <c r="D290" s="9" t="str">
        <f t="shared" si="21"/>
        <v/>
      </c>
      <c r="E290" s="10" t="str">
        <f t="shared" si="22"/>
        <v/>
      </c>
      <c r="F290" s="11" t="str">
        <f t="shared" si="23"/>
        <v/>
      </c>
      <c r="G290" s="12" t="str">
        <f t="shared" si="24"/>
        <v/>
      </c>
    </row>
    <row r="291" spans="1:7" ht="16.5" customHeight="1" x14ac:dyDescent="0.2">
      <c r="A291" s="13">
        <f>IF(IFERROR(G290&gt;0,FALSE()),276,"")</f>
        <v>276</v>
      </c>
      <c r="B291" s="14">
        <f>IF(IFERROR(G290&gt;0,FALSE()),EDATE($C$10,276),"")</f>
        <v>54544</v>
      </c>
      <c r="C291" s="15" t="str">
        <f t="shared" si="20"/>
        <v/>
      </c>
      <c r="D291" s="16" t="str">
        <f t="shared" si="21"/>
        <v/>
      </c>
      <c r="E291" s="17" t="str">
        <f t="shared" si="22"/>
        <v/>
      </c>
      <c r="F291" s="18" t="str">
        <f t="shared" si="23"/>
        <v/>
      </c>
      <c r="G291" s="19" t="str">
        <f t="shared" si="24"/>
        <v/>
      </c>
    </row>
    <row r="292" spans="1:7" ht="16.5" customHeight="1" x14ac:dyDescent="0.2">
      <c r="A292" s="6">
        <f>IF(IFERROR(G291&gt;0,FALSE()),277,"")</f>
        <v>277</v>
      </c>
      <c r="B292" s="7">
        <f>IF(IFERROR(G291&gt;0,FALSE()),EDATE($C$10,277),"")</f>
        <v>54575</v>
      </c>
      <c r="C292" s="8" t="str">
        <f t="shared" si="20"/>
        <v/>
      </c>
      <c r="D292" s="9" t="str">
        <f t="shared" si="21"/>
        <v/>
      </c>
      <c r="E292" s="10" t="str">
        <f t="shared" si="22"/>
        <v/>
      </c>
      <c r="F292" s="11" t="str">
        <f t="shared" si="23"/>
        <v/>
      </c>
      <c r="G292" s="12" t="str">
        <f t="shared" si="24"/>
        <v/>
      </c>
    </row>
    <row r="293" spans="1:7" ht="16.5" customHeight="1" x14ac:dyDescent="0.2">
      <c r="A293" s="13">
        <f>IF(IFERROR(G292&gt;0,FALSE()),278,"")</f>
        <v>278</v>
      </c>
      <c r="B293" s="14">
        <f>IF(IFERROR(G292&gt;0,FALSE()),EDATE($C$10,278),"")</f>
        <v>54605</v>
      </c>
      <c r="C293" s="15" t="str">
        <f t="shared" si="20"/>
        <v/>
      </c>
      <c r="D293" s="16" t="str">
        <f t="shared" si="21"/>
        <v/>
      </c>
      <c r="E293" s="17" t="str">
        <f t="shared" si="22"/>
        <v/>
      </c>
      <c r="F293" s="18" t="str">
        <f t="shared" si="23"/>
        <v/>
      </c>
      <c r="G293" s="19" t="str">
        <f t="shared" si="24"/>
        <v/>
      </c>
    </row>
    <row r="294" spans="1:7" ht="16.5" customHeight="1" x14ac:dyDescent="0.2">
      <c r="A294" s="6">
        <f>IF(IFERROR(G293&gt;0,FALSE()),279,"")</f>
        <v>279</v>
      </c>
      <c r="B294" s="7">
        <f>IF(IFERROR(G293&gt;0,FALSE()),EDATE($C$10,279),"")</f>
        <v>54636</v>
      </c>
      <c r="C294" s="8" t="str">
        <f t="shared" si="20"/>
        <v/>
      </c>
      <c r="D294" s="9" t="str">
        <f t="shared" si="21"/>
        <v/>
      </c>
      <c r="E294" s="10" t="str">
        <f t="shared" si="22"/>
        <v/>
      </c>
      <c r="F294" s="11" t="str">
        <f t="shared" si="23"/>
        <v/>
      </c>
      <c r="G294" s="12" t="str">
        <f t="shared" si="24"/>
        <v/>
      </c>
    </row>
    <row r="295" spans="1:7" ht="16.5" customHeight="1" x14ac:dyDescent="0.2">
      <c r="A295" s="13">
        <f>IF(IFERROR(G294&gt;0,FALSE()),280,"")</f>
        <v>280</v>
      </c>
      <c r="B295" s="14">
        <f>IF(IFERROR(G294&gt;0,FALSE()),EDATE($C$10,280),"")</f>
        <v>54667</v>
      </c>
      <c r="C295" s="15" t="str">
        <f t="shared" si="20"/>
        <v/>
      </c>
      <c r="D295" s="16" t="str">
        <f t="shared" si="21"/>
        <v/>
      </c>
      <c r="E295" s="17" t="str">
        <f t="shared" si="22"/>
        <v/>
      </c>
      <c r="F295" s="18" t="str">
        <f t="shared" si="23"/>
        <v/>
      </c>
      <c r="G295" s="19" t="str">
        <f t="shared" si="24"/>
        <v/>
      </c>
    </row>
    <row r="296" spans="1:7" ht="16.5" customHeight="1" x14ac:dyDescent="0.2">
      <c r="A296" s="6">
        <f>IF(IFERROR(G295&gt;0,FALSE()),281,"")</f>
        <v>281</v>
      </c>
      <c r="B296" s="7">
        <f>IF(IFERROR(G295&gt;0,FALSE()),EDATE($C$10,281),"")</f>
        <v>54697</v>
      </c>
      <c r="C296" s="8" t="str">
        <f t="shared" si="20"/>
        <v/>
      </c>
      <c r="D296" s="9" t="str">
        <f t="shared" si="21"/>
        <v/>
      </c>
      <c r="E296" s="10" t="str">
        <f t="shared" si="22"/>
        <v/>
      </c>
      <c r="F296" s="11" t="str">
        <f t="shared" si="23"/>
        <v/>
      </c>
      <c r="G296" s="12" t="str">
        <f t="shared" si="24"/>
        <v/>
      </c>
    </row>
    <row r="297" spans="1:7" ht="16.5" customHeight="1" x14ac:dyDescent="0.2">
      <c r="A297" s="13">
        <f>IF(IFERROR(G296&gt;0,FALSE()),282,"")</f>
        <v>282</v>
      </c>
      <c r="B297" s="14">
        <f>IF(IFERROR(G296&gt;0,FALSE()),EDATE($C$10,282),"")</f>
        <v>54728</v>
      </c>
      <c r="C297" s="15" t="str">
        <f t="shared" si="20"/>
        <v/>
      </c>
      <c r="D297" s="16" t="str">
        <f t="shared" si="21"/>
        <v/>
      </c>
      <c r="E297" s="17" t="str">
        <f t="shared" si="22"/>
        <v/>
      </c>
      <c r="F297" s="18" t="str">
        <f t="shared" si="23"/>
        <v/>
      </c>
      <c r="G297" s="19" t="str">
        <f t="shared" si="24"/>
        <v/>
      </c>
    </row>
    <row r="298" spans="1:7" ht="16.5" customHeight="1" x14ac:dyDescent="0.2">
      <c r="A298" s="6">
        <f>IF(IFERROR(G297&gt;0,FALSE()),283,"")</f>
        <v>283</v>
      </c>
      <c r="B298" s="7">
        <f>IF(IFERROR(G297&gt;0,FALSE()),EDATE($C$10,283),"")</f>
        <v>54758</v>
      </c>
      <c r="C298" s="8" t="str">
        <f t="shared" si="20"/>
        <v/>
      </c>
      <c r="D298" s="9" t="str">
        <f t="shared" si="21"/>
        <v/>
      </c>
      <c r="E298" s="10" t="str">
        <f t="shared" si="22"/>
        <v/>
      </c>
      <c r="F298" s="11" t="str">
        <f t="shared" si="23"/>
        <v/>
      </c>
      <c r="G298" s="12" t="str">
        <f t="shared" si="24"/>
        <v/>
      </c>
    </row>
    <row r="299" spans="1:7" ht="16.5" customHeight="1" x14ac:dyDescent="0.2">
      <c r="A299" s="13">
        <f>IF(IFERROR(G298&gt;0,FALSE()),284,"")</f>
        <v>284</v>
      </c>
      <c r="B299" s="14">
        <f>IF(IFERROR(G298&gt;0,FALSE()),EDATE($C$10,284),"")</f>
        <v>54789</v>
      </c>
      <c r="C299" s="15" t="str">
        <f t="shared" si="20"/>
        <v/>
      </c>
      <c r="D299" s="16" t="str">
        <f t="shared" si="21"/>
        <v/>
      </c>
      <c r="E299" s="17" t="str">
        <f t="shared" si="22"/>
        <v/>
      </c>
      <c r="F299" s="18" t="str">
        <f t="shared" si="23"/>
        <v/>
      </c>
      <c r="G299" s="19" t="str">
        <f t="shared" si="24"/>
        <v/>
      </c>
    </row>
    <row r="300" spans="1:7" ht="16.5" customHeight="1" x14ac:dyDescent="0.2">
      <c r="A300" s="6">
        <f>IF(IFERROR(G299&gt;0,FALSE()),285,"")</f>
        <v>285</v>
      </c>
      <c r="B300" s="7">
        <f>IF(IFERROR(G299&gt;0,FALSE()),EDATE($C$10,285),"")</f>
        <v>54820</v>
      </c>
      <c r="C300" s="8" t="str">
        <f t="shared" si="20"/>
        <v/>
      </c>
      <c r="D300" s="9" t="str">
        <f t="shared" si="21"/>
        <v/>
      </c>
      <c r="E300" s="10" t="str">
        <f t="shared" si="22"/>
        <v/>
      </c>
      <c r="F300" s="11" t="str">
        <f t="shared" si="23"/>
        <v/>
      </c>
      <c r="G300" s="12" t="str">
        <f t="shared" si="24"/>
        <v/>
      </c>
    </row>
    <row r="301" spans="1:7" ht="16.5" customHeight="1" x14ac:dyDescent="0.2">
      <c r="A301" s="13">
        <f>IF(IFERROR(G300&gt;0,FALSE()),286,"")</f>
        <v>286</v>
      </c>
      <c r="B301" s="14">
        <f>IF(IFERROR(G300&gt;0,FALSE()),EDATE($C$10,286),"")</f>
        <v>54848</v>
      </c>
      <c r="C301" s="15" t="str">
        <f t="shared" si="20"/>
        <v/>
      </c>
      <c r="D301" s="16" t="str">
        <f t="shared" si="21"/>
        <v/>
      </c>
      <c r="E301" s="17" t="str">
        <f t="shared" si="22"/>
        <v/>
      </c>
      <c r="F301" s="18" t="str">
        <f t="shared" si="23"/>
        <v/>
      </c>
      <c r="G301" s="19" t="str">
        <f t="shared" si="24"/>
        <v/>
      </c>
    </row>
    <row r="302" spans="1:7" ht="16.5" customHeight="1" x14ac:dyDescent="0.2">
      <c r="A302" s="6">
        <f>IF(IFERROR(G301&gt;0,FALSE()),287,"")</f>
        <v>287</v>
      </c>
      <c r="B302" s="7">
        <f>IF(IFERROR(G301&gt;0,FALSE()),EDATE($C$10,287),"")</f>
        <v>54879</v>
      </c>
      <c r="C302" s="8" t="str">
        <f t="shared" si="20"/>
        <v/>
      </c>
      <c r="D302" s="9" t="str">
        <f t="shared" si="21"/>
        <v/>
      </c>
      <c r="E302" s="10" t="str">
        <f t="shared" si="22"/>
        <v/>
      </c>
      <c r="F302" s="11" t="str">
        <f t="shared" si="23"/>
        <v/>
      </c>
      <c r="G302" s="12" t="str">
        <f t="shared" si="24"/>
        <v/>
      </c>
    </row>
    <row r="303" spans="1:7" ht="16.5" customHeight="1" x14ac:dyDescent="0.2">
      <c r="A303" s="13">
        <f>IF(IFERROR(G302&gt;0,FALSE()),288,"")</f>
        <v>288</v>
      </c>
      <c r="B303" s="14">
        <f>IF(IFERROR(G302&gt;0,FALSE()),EDATE($C$10,288),"")</f>
        <v>54909</v>
      </c>
      <c r="C303" s="15" t="str">
        <f t="shared" si="20"/>
        <v/>
      </c>
      <c r="D303" s="16" t="str">
        <f t="shared" si="21"/>
        <v/>
      </c>
      <c r="E303" s="17" t="str">
        <f t="shared" si="22"/>
        <v/>
      </c>
      <c r="F303" s="18" t="str">
        <f t="shared" si="23"/>
        <v/>
      </c>
      <c r="G303" s="19" t="str">
        <f t="shared" si="24"/>
        <v/>
      </c>
    </row>
    <row r="304" spans="1:7" ht="16.5" customHeight="1" x14ac:dyDescent="0.2">
      <c r="A304" s="6">
        <f>IF(IFERROR(G303&gt;0,FALSE()),289,"")</f>
        <v>289</v>
      </c>
      <c r="B304" s="7">
        <f>IF(IFERROR(G303&gt;0,FALSE()),EDATE($C$10,289),"")</f>
        <v>54940</v>
      </c>
      <c r="C304" s="8" t="str">
        <f t="shared" si="20"/>
        <v/>
      </c>
      <c r="D304" s="9" t="str">
        <f t="shared" si="21"/>
        <v/>
      </c>
      <c r="E304" s="10" t="str">
        <f t="shared" si="22"/>
        <v/>
      </c>
      <c r="F304" s="11" t="str">
        <f t="shared" si="23"/>
        <v/>
      </c>
      <c r="G304" s="12" t="str">
        <f t="shared" si="24"/>
        <v/>
      </c>
    </row>
    <row r="305" spans="1:7" ht="16.5" customHeight="1" x14ac:dyDescent="0.2">
      <c r="A305" s="13">
        <f>IF(IFERROR(G304&gt;0,FALSE()),290,"")</f>
        <v>290</v>
      </c>
      <c r="B305" s="14">
        <f>IF(IFERROR(G304&gt;0,FALSE()),EDATE($C$10,290),"")</f>
        <v>54970</v>
      </c>
      <c r="C305" s="15" t="str">
        <f t="shared" si="20"/>
        <v/>
      </c>
      <c r="D305" s="16" t="str">
        <f t="shared" si="21"/>
        <v/>
      </c>
      <c r="E305" s="17" t="str">
        <f t="shared" si="22"/>
        <v/>
      </c>
      <c r="F305" s="18" t="str">
        <f t="shared" si="23"/>
        <v/>
      </c>
      <c r="G305" s="19" t="str">
        <f t="shared" si="24"/>
        <v/>
      </c>
    </row>
    <row r="306" spans="1:7" ht="16.5" customHeight="1" x14ac:dyDescent="0.2">
      <c r="A306" s="6">
        <f>IF(IFERROR(G305&gt;0,FALSE()),291,"")</f>
        <v>291</v>
      </c>
      <c r="B306" s="7">
        <f>IF(IFERROR(G305&gt;0,FALSE()),EDATE($C$10,291),"")</f>
        <v>55001</v>
      </c>
      <c r="C306" s="8" t="str">
        <f t="shared" si="20"/>
        <v/>
      </c>
      <c r="D306" s="9" t="str">
        <f t="shared" si="21"/>
        <v/>
      </c>
      <c r="E306" s="10" t="str">
        <f t="shared" si="22"/>
        <v/>
      </c>
      <c r="F306" s="11" t="str">
        <f t="shared" si="23"/>
        <v/>
      </c>
      <c r="G306" s="12" t="str">
        <f t="shared" si="24"/>
        <v/>
      </c>
    </row>
    <row r="307" spans="1:7" ht="16.5" customHeight="1" x14ac:dyDescent="0.2">
      <c r="A307" s="13">
        <f>IF(IFERROR(G306&gt;0,FALSE()),292,"")</f>
        <v>292</v>
      </c>
      <c r="B307" s="14">
        <f>IF(IFERROR(G306&gt;0,FALSE()),EDATE($C$10,292),"")</f>
        <v>55032</v>
      </c>
      <c r="C307" s="15" t="str">
        <f t="shared" si="20"/>
        <v/>
      </c>
      <c r="D307" s="16" t="str">
        <f t="shared" si="21"/>
        <v/>
      </c>
      <c r="E307" s="17" t="str">
        <f t="shared" si="22"/>
        <v/>
      </c>
      <c r="F307" s="18" t="str">
        <f t="shared" si="23"/>
        <v/>
      </c>
      <c r="G307" s="19" t="str">
        <f t="shared" si="24"/>
        <v/>
      </c>
    </row>
    <row r="308" spans="1:7" ht="16.5" customHeight="1" x14ac:dyDescent="0.2">
      <c r="A308" s="6">
        <f>IF(IFERROR(G307&gt;0,FALSE()),293,"")</f>
        <v>293</v>
      </c>
      <c r="B308" s="7">
        <f>IF(IFERROR(G307&gt;0,FALSE()),EDATE($C$10,293),"")</f>
        <v>55062</v>
      </c>
      <c r="C308" s="8" t="str">
        <f t="shared" si="20"/>
        <v/>
      </c>
      <c r="D308" s="9" t="str">
        <f t="shared" si="21"/>
        <v/>
      </c>
      <c r="E308" s="10" t="str">
        <f t="shared" si="22"/>
        <v/>
      </c>
      <c r="F308" s="11" t="str">
        <f t="shared" si="23"/>
        <v/>
      </c>
      <c r="G308" s="12" t="str">
        <f t="shared" si="24"/>
        <v/>
      </c>
    </row>
    <row r="309" spans="1:7" ht="16.5" customHeight="1" x14ac:dyDescent="0.2">
      <c r="A309" s="13">
        <f>IF(IFERROR(G308&gt;0,FALSE()),294,"")</f>
        <v>294</v>
      </c>
      <c r="B309" s="14">
        <f>IF(IFERROR(G308&gt;0,FALSE()),EDATE($C$10,294),"")</f>
        <v>55093</v>
      </c>
      <c r="C309" s="15" t="str">
        <f t="shared" si="20"/>
        <v/>
      </c>
      <c r="D309" s="16" t="str">
        <f t="shared" si="21"/>
        <v/>
      </c>
      <c r="E309" s="17" t="str">
        <f t="shared" si="22"/>
        <v/>
      </c>
      <c r="F309" s="18" t="str">
        <f t="shared" si="23"/>
        <v/>
      </c>
      <c r="G309" s="19" t="str">
        <f t="shared" si="24"/>
        <v/>
      </c>
    </row>
    <row r="310" spans="1:7" ht="16.5" customHeight="1" x14ac:dyDescent="0.2">
      <c r="A310" s="6">
        <f>IF(IFERROR(G309&gt;0,FALSE()),295,"")</f>
        <v>295</v>
      </c>
      <c r="B310" s="7">
        <f>IF(IFERROR(G309&gt;0,FALSE()),EDATE($C$10,295),"")</f>
        <v>55123</v>
      </c>
      <c r="C310" s="8" t="str">
        <f t="shared" si="20"/>
        <v/>
      </c>
      <c r="D310" s="9" t="str">
        <f t="shared" si="21"/>
        <v/>
      </c>
      <c r="E310" s="10" t="str">
        <f t="shared" si="22"/>
        <v/>
      </c>
      <c r="F310" s="11" t="str">
        <f t="shared" si="23"/>
        <v/>
      </c>
      <c r="G310" s="12" t="str">
        <f t="shared" si="24"/>
        <v/>
      </c>
    </row>
    <row r="311" spans="1:7" ht="16.5" customHeight="1" x14ac:dyDescent="0.2">
      <c r="A311" s="13">
        <f>IF(IFERROR(G310&gt;0,FALSE()),296,"")</f>
        <v>296</v>
      </c>
      <c r="B311" s="14">
        <f>IF(IFERROR(G310&gt;0,FALSE()),EDATE($C$10,296),"")</f>
        <v>55154</v>
      </c>
      <c r="C311" s="15" t="str">
        <f t="shared" si="20"/>
        <v/>
      </c>
      <c r="D311" s="16" t="str">
        <f t="shared" si="21"/>
        <v/>
      </c>
      <c r="E311" s="17" t="str">
        <f t="shared" si="22"/>
        <v/>
      </c>
      <c r="F311" s="18" t="str">
        <f t="shared" si="23"/>
        <v/>
      </c>
      <c r="G311" s="19" t="str">
        <f t="shared" si="24"/>
        <v/>
      </c>
    </row>
    <row r="312" spans="1:7" ht="16.5" customHeight="1" x14ac:dyDescent="0.2">
      <c r="A312" s="6">
        <f>IF(IFERROR(G311&gt;0,FALSE()),297,"")</f>
        <v>297</v>
      </c>
      <c r="B312" s="7">
        <f>IF(IFERROR(G311&gt;0,FALSE()),EDATE($C$10,297),"")</f>
        <v>55185</v>
      </c>
      <c r="C312" s="8" t="str">
        <f t="shared" si="20"/>
        <v/>
      </c>
      <c r="D312" s="9" t="str">
        <f t="shared" si="21"/>
        <v/>
      </c>
      <c r="E312" s="10" t="str">
        <f t="shared" si="22"/>
        <v/>
      </c>
      <c r="F312" s="11" t="str">
        <f t="shared" si="23"/>
        <v/>
      </c>
      <c r="G312" s="12" t="str">
        <f t="shared" si="24"/>
        <v/>
      </c>
    </row>
    <row r="313" spans="1:7" ht="16.5" customHeight="1" x14ac:dyDescent="0.2">
      <c r="A313" s="13">
        <f>IF(IFERROR(G312&gt;0,FALSE()),298,"")</f>
        <v>298</v>
      </c>
      <c r="B313" s="14">
        <f>IF(IFERROR(G312&gt;0,FALSE()),EDATE($C$10,298),"")</f>
        <v>55213</v>
      </c>
      <c r="C313" s="15" t="str">
        <f t="shared" si="20"/>
        <v/>
      </c>
      <c r="D313" s="16" t="str">
        <f t="shared" si="21"/>
        <v/>
      </c>
      <c r="E313" s="17" t="str">
        <f t="shared" si="22"/>
        <v/>
      </c>
      <c r="F313" s="18" t="str">
        <f t="shared" si="23"/>
        <v/>
      </c>
      <c r="G313" s="19" t="str">
        <f t="shared" si="24"/>
        <v/>
      </c>
    </row>
    <row r="314" spans="1:7" ht="16.5" customHeight="1" x14ac:dyDescent="0.2">
      <c r="A314" s="6">
        <f>IF(IFERROR(G313&gt;0,FALSE()),299,"")</f>
        <v>299</v>
      </c>
      <c r="B314" s="7">
        <f>IF(IFERROR(G313&gt;0,FALSE()),EDATE($C$10,299),"")</f>
        <v>55244</v>
      </c>
      <c r="C314" s="8" t="str">
        <f t="shared" si="20"/>
        <v/>
      </c>
      <c r="D314" s="9" t="str">
        <f t="shared" si="21"/>
        <v/>
      </c>
      <c r="E314" s="10" t="str">
        <f t="shared" si="22"/>
        <v/>
      </c>
      <c r="F314" s="11" t="str">
        <f t="shared" si="23"/>
        <v/>
      </c>
      <c r="G314" s="12" t="str">
        <f t="shared" si="24"/>
        <v/>
      </c>
    </row>
    <row r="315" spans="1:7" ht="16.5" customHeight="1" x14ac:dyDescent="0.2">
      <c r="A315" s="13">
        <f>IF(IFERROR(G314&gt;0,FALSE()),300,"")</f>
        <v>300</v>
      </c>
      <c r="B315" s="14">
        <f>IF(IFERROR(G314&gt;0,FALSE()),EDATE($C$10,300),"")</f>
        <v>55274</v>
      </c>
      <c r="C315" s="15" t="str">
        <f t="shared" si="20"/>
        <v/>
      </c>
      <c r="D315" s="16" t="str">
        <f t="shared" si="21"/>
        <v/>
      </c>
      <c r="E315" s="17" t="str">
        <f t="shared" si="22"/>
        <v/>
      </c>
      <c r="F315" s="18" t="str">
        <f t="shared" si="23"/>
        <v/>
      </c>
      <c r="G315" s="19" t="str">
        <f t="shared" si="24"/>
        <v/>
      </c>
    </row>
    <row r="316" spans="1:7" ht="16.5" customHeight="1" x14ac:dyDescent="0.2">
      <c r="A316" s="6">
        <f>IF(IFERROR(G315&gt;0,FALSE()),301,"")</f>
        <v>301</v>
      </c>
      <c r="B316" s="7">
        <f>IF(IFERROR(G315&gt;0,FALSE()),EDATE($C$10,301),"")</f>
        <v>55305</v>
      </c>
      <c r="C316" s="8" t="str">
        <f t="shared" si="20"/>
        <v/>
      </c>
      <c r="D316" s="9" t="str">
        <f t="shared" si="21"/>
        <v/>
      </c>
      <c r="E316" s="10" t="str">
        <f t="shared" si="22"/>
        <v/>
      </c>
      <c r="F316" s="11" t="str">
        <f t="shared" si="23"/>
        <v/>
      </c>
      <c r="G316" s="12" t="str">
        <f t="shared" si="24"/>
        <v/>
      </c>
    </row>
    <row r="317" spans="1:7" ht="16.5" customHeight="1" x14ac:dyDescent="0.2">
      <c r="A317" s="13">
        <f>IF(IFERROR(G316&gt;0,FALSE()),302,"")</f>
        <v>302</v>
      </c>
      <c r="B317" s="14">
        <f>IF(IFERROR(G316&gt;0,FALSE()),EDATE($C$10,302),"")</f>
        <v>55335</v>
      </c>
      <c r="C317" s="15" t="str">
        <f t="shared" si="20"/>
        <v/>
      </c>
      <c r="D317" s="16" t="str">
        <f t="shared" si="21"/>
        <v/>
      </c>
      <c r="E317" s="17" t="str">
        <f t="shared" si="22"/>
        <v/>
      </c>
      <c r="F317" s="18" t="str">
        <f t="shared" si="23"/>
        <v/>
      </c>
      <c r="G317" s="19" t="str">
        <f t="shared" si="24"/>
        <v/>
      </c>
    </row>
    <row r="318" spans="1:7" ht="16.5" customHeight="1" x14ac:dyDescent="0.2">
      <c r="A318" s="6">
        <f>IF(IFERROR(G317&gt;0,FALSE()),303,"")</f>
        <v>303</v>
      </c>
      <c r="B318" s="7">
        <f>IF(IFERROR(G317&gt;0,FALSE()),EDATE($C$10,303),"")</f>
        <v>55366</v>
      </c>
      <c r="C318" s="8" t="str">
        <f t="shared" si="20"/>
        <v/>
      </c>
      <c r="D318" s="9" t="str">
        <f t="shared" si="21"/>
        <v/>
      </c>
      <c r="E318" s="10" t="str">
        <f t="shared" si="22"/>
        <v/>
      </c>
      <c r="F318" s="11" t="str">
        <f t="shared" si="23"/>
        <v/>
      </c>
      <c r="G318" s="12" t="str">
        <f t="shared" si="24"/>
        <v/>
      </c>
    </row>
    <row r="319" spans="1:7" ht="16.5" customHeight="1" x14ac:dyDescent="0.2">
      <c r="A319" s="13">
        <f>IF(IFERROR(G318&gt;0,FALSE()),304,"")</f>
        <v>304</v>
      </c>
      <c r="B319" s="14">
        <f>IF(IFERROR(G318&gt;0,FALSE()),EDATE($C$10,304),"")</f>
        <v>55397</v>
      </c>
      <c r="C319" s="15" t="str">
        <f t="shared" si="20"/>
        <v/>
      </c>
      <c r="D319" s="16" t="str">
        <f t="shared" si="21"/>
        <v/>
      </c>
      <c r="E319" s="17" t="str">
        <f t="shared" si="22"/>
        <v/>
      </c>
      <c r="F319" s="18" t="str">
        <f t="shared" si="23"/>
        <v/>
      </c>
      <c r="G319" s="19" t="str">
        <f t="shared" si="24"/>
        <v/>
      </c>
    </row>
    <row r="320" spans="1:7" ht="16.5" customHeight="1" x14ac:dyDescent="0.2">
      <c r="A320" s="6">
        <f>IF(IFERROR(G319&gt;0,FALSE()),305,"")</f>
        <v>305</v>
      </c>
      <c r="B320" s="7">
        <f>IF(IFERROR(G319&gt;0,FALSE()),EDATE($C$10,305),"")</f>
        <v>55427</v>
      </c>
      <c r="C320" s="8" t="str">
        <f t="shared" si="20"/>
        <v/>
      </c>
      <c r="D320" s="9" t="str">
        <f t="shared" si="21"/>
        <v/>
      </c>
      <c r="E320" s="10" t="str">
        <f t="shared" si="22"/>
        <v/>
      </c>
      <c r="F320" s="11" t="str">
        <f t="shared" si="23"/>
        <v/>
      </c>
      <c r="G320" s="12" t="str">
        <f t="shared" si="24"/>
        <v/>
      </c>
    </row>
    <row r="321" spans="1:7" ht="16.5" customHeight="1" x14ac:dyDescent="0.2">
      <c r="A321" s="13">
        <f>IF(IFERROR(G320&gt;0,FALSE()),306,"")</f>
        <v>306</v>
      </c>
      <c r="B321" s="14">
        <f>IF(IFERROR(G320&gt;0,FALSE()),EDATE($C$10,306),"")</f>
        <v>55458</v>
      </c>
      <c r="C321" s="15" t="str">
        <f t="shared" si="20"/>
        <v/>
      </c>
      <c r="D321" s="16" t="str">
        <f t="shared" si="21"/>
        <v/>
      </c>
      <c r="E321" s="17" t="str">
        <f t="shared" si="22"/>
        <v/>
      </c>
      <c r="F321" s="18" t="str">
        <f t="shared" si="23"/>
        <v/>
      </c>
      <c r="G321" s="19" t="str">
        <f t="shared" si="24"/>
        <v/>
      </c>
    </row>
    <row r="322" spans="1:7" ht="16.5" customHeight="1" x14ac:dyDescent="0.2">
      <c r="A322" s="6">
        <f>IF(IFERROR(G321&gt;0,FALSE()),307,"")</f>
        <v>307</v>
      </c>
      <c r="B322" s="7">
        <f>IF(IFERROR(G321&gt;0,FALSE()),EDATE($C$10,307),"")</f>
        <v>55488</v>
      </c>
      <c r="C322" s="8" t="str">
        <f t="shared" si="20"/>
        <v/>
      </c>
      <c r="D322" s="9" t="str">
        <f t="shared" si="21"/>
        <v/>
      </c>
      <c r="E322" s="10" t="str">
        <f t="shared" si="22"/>
        <v/>
      </c>
      <c r="F322" s="11" t="str">
        <f t="shared" si="23"/>
        <v/>
      </c>
      <c r="G322" s="12" t="str">
        <f t="shared" si="24"/>
        <v/>
      </c>
    </row>
    <row r="323" spans="1:7" ht="16.5" customHeight="1" x14ac:dyDescent="0.2">
      <c r="A323" s="13">
        <f>IF(IFERROR(G322&gt;0,FALSE()),308,"")</f>
        <v>308</v>
      </c>
      <c r="B323" s="14">
        <f>IF(IFERROR(G322&gt;0,FALSE()),EDATE($C$10,308),"")</f>
        <v>55519</v>
      </c>
      <c r="C323" s="15" t="str">
        <f t="shared" si="20"/>
        <v/>
      </c>
      <c r="D323" s="16" t="str">
        <f t="shared" si="21"/>
        <v/>
      </c>
      <c r="E323" s="17" t="str">
        <f t="shared" si="22"/>
        <v/>
      </c>
      <c r="F323" s="18" t="str">
        <f t="shared" si="23"/>
        <v/>
      </c>
      <c r="G323" s="19" t="str">
        <f t="shared" si="24"/>
        <v/>
      </c>
    </row>
    <row r="324" spans="1:7" ht="16.5" customHeight="1" x14ac:dyDescent="0.2">
      <c r="A324" s="6">
        <f>IF(IFERROR(G323&gt;0,FALSE()),309,"")</f>
        <v>309</v>
      </c>
      <c r="B324" s="7">
        <f>IF(IFERROR(G323&gt;0,FALSE()),EDATE($C$10,309),"")</f>
        <v>55550</v>
      </c>
      <c r="C324" s="8" t="str">
        <f t="shared" si="20"/>
        <v/>
      </c>
      <c r="D324" s="9" t="str">
        <f t="shared" si="21"/>
        <v/>
      </c>
      <c r="E324" s="10" t="str">
        <f t="shared" si="22"/>
        <v/>
      </c>
      <c r="F324" s="11" t="str">
        <f t="shared" si="23"/>
        <v/>
      </c>
      <c r="G324" s="12" t="str">
        <f t="shared" si="24"/>
        <v/>
      </c>
    </row>
    <row r="325" spans="1:7" ht="16.5" customHeight="1" x14ac:dyDescent="0.2">
      <c r="A325" s="13">
        <f>IF(IFERROR(G324&gt;0,FALSE()),310,"")</f>
        <v>310</v>
      </c>
      <c r="B325" s="14">
        <f>IF(IFERROR(G324&gt;0,FALSE()),EDATE($C$10,310),"")</f>
        <v>55579</v>
      </c>
      <c r="C325" s="15" t="str">
        <f t="shared" si="20"/>
        <v/>
      </c>
      <c r="D325" s="16" t="str">
        <f t="shared" si="21"/>
        <v/>
      </c>
      <c r="E325" s="17" t="str">
        <f t="shared" si="22"/>
        <v/>
      </c>
      <c r="F325" s="18" t="str">
        <f t="shared" si="23"/>
        <v/>
      </c>
      <c r="G325" s="19" t="str">
        <f t="shared" si="24"/>
        <v/>
      </c>
    </row>
    <row r="326" spans="1:7" ht="16.5" customHeight="1" x14ac:dyDescent="0.2">
      <c r="A326" s="6">
        <f>IF(IFERROR(G325&gt;0,FALSE()),311,"")</f>
        <v>311</v>
      </c>
      <c r="B326" s="7">
        <f>IF(IFERROR(G325&gt;0,FALSE()),EDATE($C$10,311),"")</f>
        <v>55610</v>
      </c>
      <c r="C326" s="8" t="str">
        <f t="shared" si="20"/>
        <v/>
      </c>
      <c r="D326" s="9" t="str">
        <f t="shared" si="21"/>
        <v/>
      </c>
      <c r="E326" s="10" t="str">
        <f t="shared" si="22"/>
        <v/>
      </c>
      <c r="F326" s="11" t="str">
        <f t="shared" si="23"/>
        <v/>
      </c>
      <c r="G326" s="12" t="str">
        <f t="shared" si="24"/>
        <v/>
      </c>
    </row>
    <row r="327" spans="1:7" ht="16.5" customHeight="1" x14ac:dyDescent="0.2">
      <c r="A327" s="13">
        <f>IF(IFERROR(G326&gt;0,FALSE()),312,"")</f>
        <v>312</v>
      </c>
      <c r="B327" s="14">
        <f>IF(IFERROR(G326&gt;0,FALSE()),EDATE($C$10,312),"")</f>
        <v>55640</v>
      </c>
      <c r="C327" s="15" t="str">
        <f t="shared" si="20"/>
        <v/>
      </c>
      <c r="D327" s="16" t="str">
        <f t="shared" si="21"/>
        <v/>
      </c>
      <c r="E327" s="17" t="str">
        <f t="shared" si="22"/>
        <v/>
      </c>
      <c r="F327" s="18" t="str">
        <f t="shared" si="23"/>
        <v/>
      </c>
      <c r="G327" s="19" t="str">
        <f t="shared" si="24"/>
        <v/>
      </c>
    </row>
    <row r="328" spans="1:7" ht="16.5" customHeight="1" x14ac:dyDescent="0.2">
      <c r="A328" s="6">
        <f>IF(IFERROR(G327&gt;0,FALSE()),313,"")</f>
        <v>313</v>
      </c>
      <c r="B328" s="7">
        <f>IF(IFERROR(G327&gt;0,FALSE()),EDATE($C$10,313),"")</f>
        <v>55671</v>
      </c>
      <c r="C328" s="8" t="str">
        <f t="shared" si="20"/>
        <v/>
      </c>
      <c r="D328" s="9" t="str">
        <f t="shared" si="21"/>
        <v/>
      </c>
      <c r="E328" s="10" t="str">
        <f t="shared" si="22"/>
        <v/>
      </c>
      <c r="F328" s="11" t="str">
        <f t="shared" si="23"/>
        <v/>
      </c>
      <c r="G328" s="12" t="str">
        <f t="shared" si="24"/>
        <v/>
      </c>
    </row>
    <row r="329" spans="1:7" ht="16.5" customHeight="1" x14ac:dyDescent="0.2">
      <c r="A329" s="13">
        <f>IF(IFERROR(G328&gt;0,FALSE()),314,"")</f>
        <v>314</v>
      </c>
      <c r="B329" s="14">
        <f>IF(IFERROR(G328&gt;0,FALSE()),EDATE($C$10,314),"")</f>
        <v>55701</v>
      </c>
      <c r="C329" s="15" t="str">
        <f t="shared" si="20"/>
        <v/>
      </c>
      <c r="D329" s="16" t="str">
        <f t="shared" si="21"/>
        <v/>
      </c>
      <c r="E329" s="17" t="str">
        <f t="shared" si="22"/>
        <v/>
      </c>
      <c r="F329" s="18" t="str">
        <f t="shared" si="23"/>
        <v/>
      </c>
      <c r="G329" s="19" t="str">
        <f t="shared" si="24"/>
        <v/>
      </c>
    </row>
    <row r="330" spans="1:7" ht="16.5" customHeight="1" x14ac:dyDescent="0.2">
      <c r="A330" s="6">
        <f>IF(IFERROR(G329&gt;0,FALSE()),315,"")</f>
        <v>315</v>
      </c>
      <c r="B330" s="7">
        <f>IF(IFERROR(G329&gt;0,FALSE()),EDATE($C$10,315),"")</f>
        <v>55732</v>
      </c>
      <c r="C330" s="8" t="str">
        <f t="shared" si="20"/>
        <v/>
      </c>
      <c r="D330" s="9" t="str">
        <f t="shared" si="21"/>
        <v/>
      </c>
      <c r="E330" s="10" t="str">
        <f t="shared" si="22"/>
        <v/>
      </c>
      <c r="F330" s="11" t="str">
        <f t="shared" si="23"/>
        <v/>
      </c>
      <c r="G330" s="12" t="str">
        <f t="shared" si="24"/>
        <v/>
      </c>
    </row>
    <row r="331" spans="1:7" ht="16.5" customHeight="1" x14ac:dyDescent="0.2">
      <c r="A331" s="13">
        <f>IF(IFERROR(G330&gt;0,FALSE()),316,"")</f>
        <v>316</v>
      </c>
      <c r="B331" s="14">
        <f>IF(IFERROR(G330&gt;0,FALSE()),EDATE($C$10,316),"")</f>
        <v>55763</v>
      </c>
      <c r="C331" s="15" t="str">
        <f t="shared" si="20"/>
        <v/>
      </c>
      <c r="D331" s="16" t="str">
        <f t="shared" si="21"/>
        <v/>
      </c>
      <c r="E331" s="17" t="str">
        <f t="shared" si="22"/>
        <v/>
      </c>
      <c r="F331" s="18" t="str">
        <f t="shared" si="23"/>
        <v/>
      </c>
      <c r="G331" s="19" t="str">
        <f t="shared" si="24"/>
        <v/>
      </c>
    </row>
    <row r="332" spans="1:7" ht="16.5" customHeight="1" x14ac:dyDescent="0.2">
      <c r="A332" s="6">
        <f>IF(IFERROR(G331&gt;0,FALSE()),317,"")</f>
        <v>317</v>
      </c>
      <c r="B332" s="7">
        <f>IF(IFERROR(G331&gt;0,FALSE()),EDATE($C$10,317),"")</f>
        <v>55793</v>
      </c>
      <c r="C332" s="8" t="str">
        <f t="shared" si="20"/>
        <v/>
      </c>
      <c r="D332" s="9" t="str">
        <f t="shared" si="21"/>
        <v/>
      </c>
      <c r="E332" s="10" t="str">
        <f t="shared" si="22"/>
        <v/>
      </c>
      <c r="F332" s="11" t="str">
        <f t="shared" si="23"/>
        <v/>
      </c>
      <c r="G332" s="12" t="str">
        <f t="shared" si="24"/>
        <v/>
      </c>
    </row>
    <row r="333" spans="1:7" ht="16.5" customHeight="1" x14ac:dyDescent="0.2">
      <c r="A333" s="13">
        <f>IF(IFERROR(G332&gt;0,FALSE()),318,"")</f>
        <v>318</v>
      </c>
      <c r="B333" s="14">
        <f>IF(IFERROR(G332&gt;0,FALSE()),EDATE($C$10,318),"")</f>
        <v>55824</v>
      </c>
      <c r="C333" s="15" t="str">
        <f t="shared" si="20"/>
        <v/>
      </c>
      <c r="D333" s="16" t="str">
        <f t="shared" si="21"/>
        <v/>
      </c>
      <c r="E333" s="17" t="str">
        <f t="shared" si="22"/>
        <v/>
      </c>
      <c r="F333" s="18" t="str">
        <f t="shared" si="23"/>
        <v/>
      </c>
      <c r="G333" s="19" t="str">
        <f t="shared" si="24"/>
        <v/>
      </c>
    </row>
    <row r="334" spans="1:7" ht="16.5" customHeight="1" x14ac:dyDescent="0.2">
      <c r="A334" s="6">
        <f>IF(IFERROR(G333&gt;0,FALSE()),319,"")</f>
        <v>319</v>
      </c>
      <c r="B334" s="7">
        <f>IF(IFERROR(G333&gt;0,FALSE()),EDATE($C$10,319),"")</f>
        <v>55854</v>
      </c>
      <c r="C334" s="8" t="str">
        <f t="shared" si="20"/>
        <v/>
      </c>
      <c r="D334" s="9" t="str">
        <f t="shared" si="21"/>
        <v/>
      </c>
      <c r="E334" s="10" t="str">
        <f t="shared" si="22"/>
        <v/>
      </c>
      <c r="F334" s="11" t="str">
        <f t="shared" si="23"/>
        <v/>
      </c>
      <c r="G334" s="12" t="str">
        <f t="shared" si="24"/>
        <v/>
      </c>
    </row>
    <row r="335" spans="1:7" ht="16.5" customHeight="1" x14ac:dyDescent="0.2">
      <c r="A335" s="13">
        <f>IF(IFERROR(G334&gt;0,FALSE()),320,"")</f>
        <v>320</v>
      </c>
      <c r="B335" s="14">
        <f>IF(IFERROR(G334&gt;0,FALSE()),EDATE($C$10,320),"")</f>
        <v>55885</v>
      </c>
      <c r="C335" s="15" t="str">
        <f t="shared" si="20"/>
        <v/>
      </c>
      <c r="D335" s="16" t="str">
        <f t="shared" si="21"/>
        <v/>
      </c>
      <c r="E335" s="17" t="str">
        <f t="shared" si="22"/>
        <v/>
      </c>
      <c r="F335" s="18" t="str">
        <f t="shared" si="23"/>
        <v/>
      </c>
      <c r="G335" s="19" t="str">
        <f t="shared" si="24"/>
        <v/>
      </c>
    </row>
    <row r="336" spans="1:7" ht="16.5" customHeight="1" x14ac:dyDescent="0.2">
      <c r="A336" s="6">
        <f>IF(IFERROR(G335&gt;0,FALSE()),321,"")</f>
        <v>321</v>
      </c>
      <c r="B336" s="7">
        <f>IF(IFERROR(G335&gt;0,FALSE()),EDATE($C$10,321),"")</f>
        <v>55916</v>
      </c>
      <c r="C336" s="8" t="str">
        <f t="shared" si="20"/>
        <v/>
      </c>
      <c r="D336" s="9" t="str">
        <f t="shared" si="21"/>
        <v/>
      </c>
      <c r="E336" s="10" t="str">
        <f t="shared" si="22"/>
        <v/>
      </c>
      <c r="F336" s="11" t="str">
        <f t="shared" si="23"/>
        <v/>
      </c>
      <c r="G336" s="12" t="str">
        <f t="shared" si="24"/>
        <v/>
      </c>
    </row>
    <row r="337" spans="1:7" ht="16.5" customHeight="1" x14ac:dyDescent="0.2">
      <c r="A337" s="13">
        <f>IF(IFERROR(G336&gt;0,FALSE()),322,"")</f>
        <v>322</v>
      </c>
      <c r="B337" s="14">
        <f>IF(IFERROR(G336&gt;0,FALSE()),EDATE($C$10,322),"")</f>
        <v>55944</v>
      </c>
      <c r="C337" s="15" t="str">
        <f t="shared" ref="C337:C375" si="25">IF(IFERROR(G336&gt;0,FALSE()),G336,"")</f>
        <v/>
      </c>
      <c r="D337" s="16" t="str">
        <f t="shared" ref="D337:D375" si="26">IFERROR(IF(IFERROR(G336&gt;0,FALSE()),ROUND(C337*$C$8/12,2),""),"")</f>
        <v/>
      </c>
      <c r="E337" s="17" t="str">
        <f t="shared" ref="E337:E375" si="27">IFERROR(IF(IFERROR(G336&gt;0,FALSE()),MAX(0,F337-D337),""),"")</f>
        <v/>
      </c>
      <c r="F337" s="18" t="str">
        <f t="shared" ref="F337:F375" si="28">IFERROR(IF(IFERROR(G336&gt;0,FALSE()),MIN($C$9,C337+D337),""),"")</f>
        <v/>
      </c>
      <c r="G337" s="19" t="str">
        <f t="shared" ref="G337:G375" si="29">IFERROR(IF(IFERROR(G336&gt;0,FALSE()),MAX(0,C337+D337-F337),""),"")</f>
        <v/>
      </c>
    </row>
    <row r="338" spans="1:7" ht="16.5" customHeight="1" x14ac:dyDescent="0.2">
      <c r="A338" s="6">
        <f>IF(IFERROR(G337&gt;0,FALSE()),323,"")</f>
        <v>323</v>
      </c>
      <c r="B338" s="7">
        <f>IF(IFERROR(G337&gt;0,FALSE()),EDATE($C$10,323),"")</f>
        <v>55975</v>
      </c>
      <c r="C338" s="8" t="str">
        <f t="shared" si="25"/>
        <v/>
      </c>
      <c r="D338" s="9" t="str">
        <f t="shared" si="26"/>
        <v/>
      </c>
      <c r="E338" s="10" t="str">
        <f t="shared" si="27"/>
        <v/>
      </c>
      <c r="F338" s="11" t="str">
        <f t="shared" si="28"/>
        <v/>
      </c>
      <c r="G338" s="12" t="str">
        <f t="shared" si="29"/>
        <v/>
      </c>
    </row>
    <row r="339" spans="1:7" ht="16.5" customHeight="1" x14ac:dyDescent="0.2">
      <c r="A339" s="13">
        <f>IF(IFERROR(G338&gt;0,FALSE()),324,"")</f>
        <v>324</v>
      </c>
      <c r="B339" s="14">
        <f>IF(IFERROR(G338&gt;0,FALSE()),EDATE($C$10,324),"")</f>
        <v>56005</v>
      </c>
      <c r="C339" s="15" t="str">
        <f t="shared" si="25"/>
        <v/>
      </c>
      <c r="D339" s="16" t="str">
        <f t="shared" si="26"/>
        <v/>
      </c>
      <c r="E339" s="17" t="str">
        <f t="shared" si="27"/>
        <v/>
      </c>
      <c r="F339" s="18" t="str">
        <f t="shared" si="28"/>
        <v/>
      </c>
      <c r="G339" s="19" t="str">
        <f t="shared" si="29"/>
        <v/>
      </c>
    </row>
    <row r="340" spans="1:7" ht="16.5" customHeight="1" x14ac:dyDescent="0.2">
      <c r="A340" s="6">
        <f>IF(IFERROR(G339&gt;0,FALSE()),325,"")</f>
        <v>325</v>
      </c>
      <c r="B340" s="7">
        <f>IF(IFERROR(G339&gt;0,FALSE()),EDATE($C$10,325),"")</f>
        <v>56036</v>
      </c>
      <c r="C340" s="8" t="str">
        <f t="shared" si="25"/>
        <v/>
      </c>
      <c r="D340" s="9" t="str">
        <f t="shared" si="26"/>
        <v/>
      </c>
      <c r="E340" s="10" t="str">
        <f t="shared" si="27"/>
        <v/>
      </c>
      <c r="F340" s="11" t="str">
        <f t="shared" si="28"/>
        <v/>
      </c>
      <c r="G340" s="12" t="str">
        <f t="shared" si="29"/>
        <v/>
      </c>
    </row>
    <row r="341" spans="1:7" ht="16.5" customHeight="1" x14ac:dyDescent="0.2">
      <c r="A341" s="13">
        <f>IF(IFERROR(G340&gt;0,FALSE()),326,"")</f>
        <v>326</v>
      </c>
      <c r="B341" s="14">
        <f>IF(IFERROR(G340&gt;0,FALSE()),EDATE($C$10,326),"")</f>
        <v>56066</v>
      </c>
      <c r="C341" s="15" t="str">
        <f t="shared" si="25"/>
        <v/>
      </c>
      <c r="D341" s="16" t="str">
        <f t="shared" si="26"/>
        <v/>
      </c>
      <c r="E341" s="17" t="str">
        <f t="shared" si="27"/>
        <v/>
      </c>
      <c r="F341" s="18" t="str">
        <f t="shared" si="28"/>
        <v/>
      </c>
      <c r="G341" s="19" t="str">
        <f t="shared" si="29"/>
        <v/>
      </c>
    </row>
    <row r="342" spans="1:7" ht="16.5" customHeight="1" x14ac:dyDescent="0.2">
      <c r="A342" s="6">
        <f>IF(IFERROR(G341&gt;0,FALSE()),327,"")</f>
        <v>327</v>
      </c>
      <c r="B342" s="7">
        <f>IF(IFERROR(G341&gt;0,FALSE()),EDATE($C$10,327),"")</f>
        <v>56097</v>
      </c>
      <c r="C342" s="8" t="str">
        <f t="shared" si="25"/>
        <v/>
      </c>
      <c r="D342" s="9" t="str">
        <f t="shared" si="26"/>
        <v/>
      </c>
      <c r="E342" s="10" t="str">
        <f t="shared" si="27"/>
        <v/>
      </c>
      <c r="F342" s="11" t="str">
        <f t="shared" si="28"/>
        <v/>
      </c>
      <c r="G342" s="12" t="str">
        <f t="shared" si="29"/>
        <v/>
      </c>
    </row>
    <row r="343" spans="1:7" ht="16.5" customHeight="1" x14ac:dyDescent="0.2">
      <c r="A343" s="13">
        <f>IF(IFERROR(G342&gt;0,FALSE()),328,"")</f>
        <v>328</v>
      </c>
      <c r="B343" s="14">
        <f>IF(IFERROR(G342&gt;0,FALSE()),EDATE($C$10,328),"")</f>
        <v>56128</v>
      </c>
      <c r="C343" s="15" t="str">
        <f t="shared" si="25"/>
        <v/>
      </c>
      <c r="D343" s="16" t="str">
        <f t="shared" si="26"/>
        <v/>
      </c>
      <c r="E343" s="17" t="str">
        <f t="shared" si="27"/>
        <v/>
      </c>
      <c r="F343" s="18" t="str">
        <f t="shared" si="28"/>
        <v/>
      </c>
      <c r="G343" s="19" t="str">
        <f t="shared" si="29"/>
        <v/>
      </c>
    </row>
    <row r="344" spans="1:7" ht="16.5" customHeight="1" x14ac:dyDescent="0.2">
      <c r="A344" s="6">
        <f>IF(IFERROR(G343&gt;0,FALSE()),329,"")</f>
        <v>329</v>
      </c>
      <c r="B344" s="7">
        <f>IF(IFERROR(G343&gt;0,FALSE()),EDATE($C$10,329),"")</f>
        <v>56158</v>
      </c>
      <c r="C344" s="8" t="str">
        <f t="shared" si="25"/>
        <v/>
      </c>
      <c r="D344" s="9" t="str">
        <f t="shared" si="26"/>
        <v/>
      </c>
      <c r="E344" s="10" t="str">
        <f t="shared" si="27"/>
        <v/>
      </c>
      <c r="F344" s="11" t="str">
        <f t="shared" si="28"/>
        <v/>
      </c>
      <c r="G344" s="12" t="str">
        <f t="shared" si="29"/>
        <v/>
      </c>
    </row>
    <row r="345" spans="1:7" ht="16.5" customHeight="1" x14ac:dyDescent="0.2">
      <c r="A345" s="13">
        <f>IF(IFERROR(G344&gt;0,FALSE()),330,"")</f>
        <v>330</v>
      </c>
      <c r="B345" s="14">
        <f>IF(IFERROR(G344&gt;0,FALSE()),EDATE($C$10,330),"")</f>
        <v>56189</v>
      </c>
      <c r="C345" s="15" t="str">
        <f t="shared" si="25"/>
        <v/>
      </c>
      <c r="D345" s="16" t="str">
        <f t="shared" si="26"/>
        <v/>
      </c>
      <c r="E345" s="17" t="str">
        <f t="shared" si="27"/>
        <v/>
      </c>
      <c r="F345" s="18" t="str">
        <f t="shared" si="28"/>
        <v/>
      </c>
      <c r="G345" s="19" t="str">
        <f t="shared" si="29"/>
        <v/>
      </c>
    </row>
    <row r="346" spans="1:7" ht="16.5" customHeight="1" x14ac:dyDescent="0.2">
      <c r="A346" s="6">
        <f>IF(IFERROR(G345&gt;0,FALSE()),331,"")</f>
        <v>331</v>
      </c>
      <c r="B346" s="7">
        <f>IF(IFERROR(G345&gt;0,FALSE()),EDATE($C$10,331),"")</f>
        <v>56219</v>
      </c>
      <c r="C346" s="8" t="str">
        <f t="shared" si="25"/>
        <v/>
      </c>
      <c r="D346" s="9" t="str">
        <f t="shared" si="26"/>
        <v/>
      </c>
      <c r="E346" s="10" t="str">
        <f t="shared" si="27"/>
        <v/>
      </c>
      <c r="F346" s="11" t="str">
        <f t="shared" si="28"/>
        <v/>
      </c>
      <c r="G346" s="12" t="str">
        <f t="shared" si="29"/>
        <v/>
      </c>
    </row>
    <row r="347" spans="1:7" ht="16.5" customHeight="1" x14ac:dyDescent="0.2">
      <c r="A347" s="13">
        <f>IF(IFERROR(G346&gt;0,FALSE()),332,"")</f>
        <v>332</v>
      </c>
      <c r="B347" s="14">
        <f>IF(IFERROR(G346&gt;0,FALSE()),EDATE($C$10,332),"")</f>
        <v>56250</v>
      </c>
      <c r="C347" s="15" t="str">
        <f t="shared" si="25"/>
        <v/>
      </c>
      <c r="D347" s="16" t="str">
        <f t="shared" si="26"/>
        <v/>
      </c>
      <c r="E347" s="17" t="str">
        <f t="shared" si="27"/>
        <v/>
      </c>
      <c r="F347" s="18" t="str">
        <f t="shared" si="28"/>
        <v/>
      </c>
      <c r="G347" s="19" t="str">
        <f t="shared" si="29"/>
        <v/>
      </c>
    </row>
    <row r="348" spans="1:7" ht="16.5" customHeight="1" x14ac:dyDescent="0.2">
      <c r="A348" s="6">
        <f>IF(IFERROR(G347&gt;0,FALSE()),333,"")</f>
        <v>333</v>
      </c>
      <c r="B348" s="7">
        <f>IF(IFERROR(G347&gt;0,FALSE()),EDATE($C$10,333),"")</f>
        <v>56281</v>
      </c>
      <c r="C348" s="8" t="str">
        <f t="shared" si="25"/>
        <v/>
      </c>
      <c r="D348" s="9" t="str">
        <f t="shared" si="26"/>
        <v/>
      </c>
      <c r="E348" s="10" t="str">
        <f t="shared" si="27"/>
        <v/>
      </c>
      <c r="F348" s="11" t="str">
        <f t="shared" si="28"/>
        <v/>
      </c>
      <c r="G348" s="12" t="str">
        <f t="shared" si="29"/>
        <v/>
      </c>
    </row>
    <row r="349" spans="1:7" ht="16.5" customHeight="1" x14ac:dyDescent="0.2">
      <c r="A349" s="13">
        <f>IF(IFERROR(G348&gt;0,FALSE()),334,"")</f>
        <v>334</v>
      </c>
      <c r="B349" s="14">
        <f>IF(IFERROR(G348&gt;0,FALSE()),EDATE($C$10,334),"")</f>
        <v>56309</v>
      </c>
      <c r="C349" s="15" t="str">
        <f t="shared" si="25"/>
        <v/>
      </c>
      <c r="D349" s="16" t="str">
        <f t="shared" si="26"/>
        <v/>
      </c>
      <c r="E349" s="17" t="str">
        <f t="shared" si="27"/>
        <v/>
      </c>
      <c r="F349" s="18" t="str">
        <f t="shared" si="28"/>
        <v/>
      </c>
      <c r="G349" s="19" t="str">
        <f t="shared" si="29"/>
        <v/>
      </c>
    </row>
    <row r="350" spans="1:7" ht="16.5" customHeight="1" x14ac:dyDescent="0.2">
      <c r="A350" s="6">
        <f>IF(IFERROR(G349&gt;0,FALSE()),335,"")</f>
        <v>335</v>
      </c>
      <c r="B350" s="7">
        <f>IF(IFERROR(G349&gt;0,FALSE()),EDATE($C$10,335),"")</f>
        <v>56340</v>
      </c>
      <c r="C350" s="8" t="str">
        <f t="shared" si="25"/>
        <v/>
      </c>
      <c r="D350" s="9" t="str">
        <f t="shared" si="26"/>
        <v/>
      </c>
      <c r="E350" s="10" t="str">
        <f t="shared" si="27"/>
        <v/>
      </c>
      <c r="F350" s="11" t="str">
        <f t="shared" si="28"/>
        <v/>
      </c>
      <c r="G350" s="12" t="str">
        <f t="shared" si="29"/>
        <v/>
      </c>
    </row>
    <row r="351" spans="1:7" ht="16.5" customHeight="1" x14ac:dyDescent="0.2">
      <c r="A351" s="13">
        <f>IF(IFERROR(G350&gt;0,FALSE()),336,"")</f>
        <v>336</v>
      </c>
      <c r="B351" s="14">
        <f>IF(IFERROR(G350&gt;0,FALSE()),EDATE($C$10,336),"")</f>
        <v>56370</v>
      </c>
      <c r="C351" s="15" t="str">
        <f t="shared" si="25"/>
        <v/>
      </c>
      <c r="D351" s="16" t="str">
        <f t="shared" si="26"/>
        <v/>
      </c>
      <c r="E351" s="17" t="str">
        <f t="shared" si="27"/>
        <v/>
      </c>
      <c r="F351" s="18" t="str">
        <f t="shared" si="28"/>
        <v/>
      </c>
      <c r="G351" s="19" t="str">
        <f t="shared" si="29"/>
        <v/>
      </c>
    </row>
    <row r="352" spans="1:7" ht="16.5" customHeight="1" x14ac:dyDescent="0.2">
      <c r="A352" s="6">
        <f>IF(IFERROR(G351&gt;0,FALSE()),337,"")</f>
        <v>337</v>
      </c>
      <c r="B352" s="7">
        <f>IF(IFERROR(G351&gt;0,FALSE()),EDATE($C$10,337),"")</f>
        <v>56401</v>
      </c>
      <c r="C352" s="8" t="str">
        <f t="shared" si="25"/>
        <v/>
      </c>
      <c r="D352" s="9" t="str">
        <f t="shared" si="26"/>
        <v/>
      </c>
      <c r="E352" s="10" t="str">
        <f t="shared" si="27"/>
        <v/>
      </c>
      <c r="F352" s="11" t="str">
        <f t="shared" si="28"/>
        <v/>
      </c>
      <c r="G352" s="12" t="str">
        <f t="shared" si="29"/>
        <v/>
      </c>
    </row>
    <row r="353" spans="1:7" ht="16.5" customHeight="1" x14ac:dyDescent="0.2">
      <c r="A353" s="13">
        <f>IF(IFERROR(G352&gt;0,FALSE()),338,"")</f>
        <v>338</v>
      </c>
      <c r="B353" s="14">
        <f>IF(IFERROR(G352&gt;0,FALSE()),EDATE($C$10,338),"")</f>
        <v>56431</v>
      </c>
      <c r="C353" s="15" t="str">
        <f t="shared" si="25"/>
        <v/>
      </c>
      <c r="D353" s="16" t="str">
        <f t="shared" si="26"/>
        <v/>
      </c>
      <c r="E353" s="17" t="str">
        <f t="shared" si="27"/>
        <v/>
      </c>
      <c r="F353" s="18" t="str">
        <f t="shared" si="28"/>
        <v/>
      </c>
      <c r="G353" s="19" t="str">
        <f t="shared" si="29"/>
        <v/>
      </c>
    </row>
    <row r="354" spans="1:7" ht="16.5" customHeight="1" x14ac:dyDescent="0.2">
      <c r="A354" s="6">
        <f>IF(IFERROR(G353&gt;0,FALSE()),339,"")</f>
        <v>339</v>
      </c>
      <c r="B354" s="7">
        <f>IF(IFERROR(G353&gt;0,FALSE()),EDATE($C$10,339),"")</f>
        <v>56462</v>
      </c>
      <c r="C354" s="8" t="str">
        <f t="shared" si="25"/>
        <v/>
      </c>
      <c r="D354" s="9" t="str">
        <f t="shared" si="26"/>
        <v/>
      </c>
      <c r="E354" s="10" t="str">
        <f t="shared" si="27"/>
        <v/>
      </c>
      <c r="F354" s="11" t="str">
        <f t="shared" si="28"/>
        <v/>
      </c>
      <c r="G354" s="12" t="str">
        <f t="shared" si="29"/>
        <v/>
      </c>
    </row>
    <row r="355" spans="1:7" ht="16.5" customHeight="1" x14ac:dyDescent="0.2">
      <c r="A355" s="13">
        <f>IF(IFERROR(G354&gt;0,FALSE()),340,"")</f>
        <v>340</v>
      </c>
      <c r="B355" s="14">
        <f>IF(IFERROR(G354&gt;0,FALSE()),EDATE($C$10,340),"")</f>
        <v>56493</v>
      </c>
      <c r="C355" s="15" t="str">
        <f t="shared" si="25"/>
        <v/>
      </c>
      <c r="D355" s="16" t="str">
        <f t="shared" si="26"/>
        <v/>
      </c>
      <c r="E355" s="17" t="str">
        <f t="shared" si="27"/>
        <v/>
      </c>
      <c r="F355" s="18" t="str">
        <f t="shared" si="28"/>
        <v/>
      </c>
      <c r="G355" s="19" t="str">
        <f t="shared" si="29"/>
        <v/>
      </c>
    </row>
    <row r="356" spans="1:7" ht="16.5" customHeight="1" x14ac:dyDescent="0.2">
      <c r="A356" s="6">
        <f>IF(IFERROR(G355&gt;0,FALSE()),341,"")</f>
        <v>341</v>
      </c>
      <c r="B356" s="7">
        <f>IF(IFERROR(G355&gt;0,FALSE()),EDATE($C$10,341),"")</f>
        <v>56523</v>
      </c>
      <c r="C356" s="8" t="str">
        <f t="shared" si="25"/>
        <v/>
      </c>
      <c r="D356" s="9" t="str">
        <f t="shared" si="26"/>
        <v/>
      </c>
      <c r="E356" s="10" t="str">
        <f t="shared" si="27"/>
        <v/>
      </c>
      <c r="F356" s="11" t="str">
        <f t="shared" si="28"/>
        <v/>
      </c>
      <c r="G356" s="12" t="str">
        <f t="shared" si="29"/>
        <v/>
      </c>
    </row>
    <row r="357" spans="1:7" ht="16.5" customHeight="1" x14ac:dyDescent="0.2">
      <c r="A357" s="13">
        <f>IF(IFERROR(G356&gt;0,FALSE()),342,"")</f>
        <v>342</v>
      </c>
      <c r="B357" s="14">
        <f>IF(IFERROR(G356&gt;0,FALSE()),EDATE($C$10,342),"")</f>
        <v>56554</v>
      </c>
      <c r="C357" s="15" t="str">
        <f t="shared" si="25"/>
        <v/>
      </c>
      <c r="D357" s="16" t="str">
        <f t="shared" si="26"/>
        <v/>
      </c>
      <c r="E357" s="17" t="str">
        <f t="shared" si="27"/>
        <v/>
      </c>
      <c r="F357" s="18" t="str">
        <f t="shared" si="28"/>
        <v/>
      </c>
      <c r="G357" s="19" t="str">
        <f t="shared" si="29"/>
        <v/>
      </c>
    </row>
    <row r="358" spans="1:7" ht="16.5" customHeight="1" x14ac:dyDescent="0.2">
      <c r="A358" s="6">
        <f>IF(IFERROR(G357&gt;0,FALSE()),343,"")</f>
        <v>343</v>
      </c>
      <c r="B358" s="7">
        <f>IF(IFERROR(G357&gt;0,FALSE()),EDATE($C$10,343),"")</f>
        <v>56584</v>
      </c>
      <c r="C358" s="8" t="str">
        <f t="shared" si="25"/>
        <v/>
      </c>
      <c r="D358" s="9" t="str">
        <f t="shared" si="26"/>
        <v/>
      </c>
      <c r="E358" s="10" t="str">
        <f t="shared" si="27"/>
        <v/>
      </c>
      <c r="F358" s="11" t="str">
        <f t="shared" si="28"/>
        <v/>
      </c>
      <c r="G358" s="12" t="str">
        <f t="shared" si="29"/>
        <v/>
      </c>
    </row>
    <row r="359" spans="1:7" ht="16.5" customHeight="1" x14ac:dyDescent="0.2">
      <c r="A359" s="13">
        <f>IF(IFERROR(G358&gt;0,FALSE()),344,"")</f>
        <v>344</v>
      </c>
      <c r="B359" s="14">
        <f>IF(IFERROR(G358&gt;0,FALSE()),EDATE($C$10,344),"")</f>
        <v>56615</v>
      </c>
      <c r="C359" s="15" t="str">
        <f t="shared" si="25"/>
        <v/>
      </c>
      <c r="D359" s="16" t="str">
        <f t="shared" si="26"/>
        <v/>
      </c>
      <c r="E359" s="17" t="str">
        <f t="shared" si="27"/>
        <v/>
      </c>
      <c r="F359" s="18" t="str">
        <f t="shared" si="28"/>
        <v/>
      </c>
      <c r="G359" s="19" t="str">
        <f t="shared" si="29"/>
        <v/>
      </c>
    </row>
    <row r="360" spans="1:7" ht="16.5" customHeight="1" x14ac:dyDescent="0.2">
      <c r="A360" s="6">
        <f>IF(IFERROR(G359&gt;0,FALSE()),345,"")</f>
        <v>345</v>
      </c>
      <c r="B360" s="7">
        <f>IF(IFERROR(G359&gt;0,FALSE()),EDATE($C$10,345),"")</f>
        <v>56646</v>
      </c>
      <c r="C360" s="8" t="str">
        <f t="shared" si="25"/>
        <v/>
      </c>
      <c r="D360" s="9" t="str">
        <f t="shared" si="26"/>
        <v/>
      </c>
      <c r="E360" s="10" t="str">
        <f t="shared" si="27"/>
        <v/>
      </c>
      <c r="F360" s="11" t="str">
        <f t="shared" si="28"/>
        <v/>
      </c>
      <c r="G360" s="12" t="str">
        <f t="shared" si="29"/>
        <v/>
      </c>
    </row>
    <row r="361" spans="1:7" ht="16.5" customHeight="1" x14ac:dyDescent="0.2">
      <c r="A361" s="13">
        <f>IF(IFERROR(G360&gt;0,FALSE()),346,"")</f>
        <v>346</v>
      </c>
      <c r="B361" s="14">
        <f>IF(IFERROR(G360&gt;0,FALSE()),EDATE($C$10,346),"")</f>
        <v>56674</v>
      </c>
      <c r="C361" s="15" t="str">
        <f t="shared" si="25"/>
        <v/>
      </c>
      <c r="D361" s="16" t="str">
        <f t="shared" si="26"/>
        <v/>
      </c>
      <c r="E361" s="17" t="str">
        <f t="shared" si="27"/>
        <v/>
      </c>
      <c r="F361" s="18" t="str">
        <f t="shared" si="28"/>
        <v/>
      </c>
      <c r="G361" s="19" t="str">
        <f t="shared" si="29"/>
        <v/>
      </c>
    </row>
    <row r="362" spans="1:7" ht="16.5" customHeight="1" x14ac:dyDescent="0.2">
      <c r="A362" s="6">
        <f>IF(IFERROR(G361&gt;0,FALSE()),347,"")</f>
        <v>347</v>
      </c>
      <c r="B362" s="7">
        <f>IF(IFERROR(G361&gt;0,FALSE()),EDATE($C$10,347),"")</f>
        <v>56705</v>
      </c>
      <c r="C362" s="8" t="str">
        <f t="shared" si="25"/>
        <v/>
      </c>
      <c r="D362" s="9" t="str">
        <f t="shared" si="26"/>
        <v/>
      </c>
      <c r="E362" s="10" t="str">
        <f t="shared" si="27"/>
        <v/>
      </c>
      <c r="F362" s="11" t="str">
        <f t="shared" si="28"/>
        <v/>
      </c>
      <c r="G362" s="12" t="str">
        <f t="shared" si="29"/>
        <v/>
      </c>
    </row>
    <row r="363" spans="1:7" ht="16.5" customHeight="1" x14ac:dyDescent="0.2">
      <c r="A363" s="13">
        <f>IF(IFERROR(G362&gt;0,FALSE()),348,"")</f>
        <v>348</v>
      </c>
      <c r="B363" s="14">
        <f>IF(IFERROR(G362&gt;0,FALSE()),EDATE($C$10,348),"")</f>
        <v>56735</v>
      </c>
      <c r="C363" s="15" t="str">
        <f t="shared" si="25"/>
        <v/>
      </c>
      <c r="D363" s="16" t="str">
        <f t="shared" si="26"/>
        <v/>
      </c>
      <c r="E363" s="17" t="str">
        <f t="shared" si="27"/>
        <v/>
      </c>
      <c r="F363" s="18" t="str">
        <f t="shared" si="28"/>
        <v/>
      </c>
      <c r="G363" s="19" t="str">
        <f t="shared" si="29"/>
        <v/>
      </c>
    </row>
    <row r="364" spans="1:7" ht="16.5" customHeight="1" x14ac:dyDescent="0.2">
      <c r="A364" s="6">
        <f>IF(IFERROR(G363&gt;0,FALSE()),349,"")</f>
        <v>349</v>
      </c>
      <c r="B364" s="7">
        <f>IF(IFERROR(G363&gt;0,FALSE()),EDATE($C$10,349),"")</f>
        <v>56766</v>
      </c>
      <c r="C364" s="8" t="str">
        <f t="shared" si="25"/>
        <v/>
      </c>
      <c r="D364" s="9" t="str">
        <f t="shared" si="26"/>
        <v/>
      </c>
      <c r="E364" s="10" t="str">
        <f t="shared" si="27"/>
        <v/>
      </c>
      <c r="F364" s="11" t="str">
        <f t="shared" si="28"/>
        <v/>
      </c>
      <c r="G364" s="12" t="str">
        <f t="shared" si="29"/>
        <v/>
      </c>
    </row>
    <row r="365" spans="1:7" ht="16.5" customHeight="1" x14ac:dyDescent="0.2">
      <c r="A365" s="13">
        <f>IF(IFERROR(G364&gt;0,FALSE()),350,"")</f>
        <v>350</v>
      </c>
      <c r="B365" s="14">
        <f>IF(IFERROR(G364&gt;0,FALSE()),EDATE($C$10,350),"")</f>
        <v>56796</v>
      </c>
      <c r="C365" s="15" t="str">
        <f t="shared" si="25"/>
        <v/>
      </c>
      <c r="D365" s="16" t="str">
        <f t="shared" si="26"/>
        <v/>
      </c>
      <c r="E365" s="17" t="str">
        <f t="shared" si="27"/>
        <v/>
      </c>
      <c r="F365" s="18" t="str">
        <f t="shared" si="28"/>
        <v/>
      </c>
      <c r="G365" s="19" t="str">
        <f t="shared" si="29"/>
        <v/>
      </c>
    </row>
    <row r="366" spans="1:7" ht="16.5" customHeight="1" x14ac:dyDescent="0.2">
      <c r="A366" s="6">
        <f>IF(IFERROR(G365&gt;0,FALSE()),351,"")</f>
        <v>351</v>
      </c>
      <c r="B366" s="7">
        <f>IF(IFERROR(G365&gt;0,FALSE()),EDATE($C$10,351),"")</f>
        <v>56827</v>
      </c>
      <c r="C366" s="8" t="str">
        <f t="shared" si="25"/>
        <v/>
      </c>
      <c r="D366" s="9" t="str">
        <f t="shared" si="26"/>
        <v/>
      </c>
      <c r="E366" s="10" t="str">
        <f t="shared" si="27"/>
        <v/>
      </c>
      <c r="F366" s="11" t="str">
        <f t="shared" si="28"/>
        <v/>
      </c>
      <c r="G366" s="12" t="str">
        <f t="shared" si="29"/>
        <v/>
      </c>
    </row>
    <row r="367" spans="1:7" ht="16.5" customHeight="1" x14ac:dyDescent="0.2">
      <c r="A367" s="13">
        <f>IF(IFERROR(G366&gt;0,FALSE()),352,"")</f>
        <v>352</v>
      </c>
      <c r="B367" s="14">
        <f>IF(IFERROR(G366&gt;0,FALSE()),EDATE($C$10,352),"")</f>
        <v>56858</v>
      </c>
      <c r="C367" s="15" t="str">
        <f t="shared" si="25"/>
        <v/>
      </c>
      <c r="D367" s="16" t="str">
        <f t="shared" si="26"/>
        <v/>
      </c>
      <c r="E367" s="17" t="str">
        <f t="shared" si="27"/>
        <v/>
      </c>
      <c r="F367" s="18" t="str">
        <f t="shared" si="28"/>
        <v/>
      </c>
      <c r="G367" s="19" t="str">
        <f t="shared" si="29"/>
        <v/>
      </c>
    </row>
    <row r="368" spans="1:7" ht="16.5" customHeight="1" x14ac:dyDescent="0.2">
      <c r="A368" s="6">
        <f>IF(IFERROR(G367&gt;0,FALSE()),353,"")</f>
        <v>353</v>
      </c>
      <c r="B368" s="7">
        <f>IF(IFERROR(G367&gt;0,FALSE()),EDATE($C$10,353),"")</f>
        <v>56888</v>
      </c>
      <c r="C368" s="8" t="str">
        <f t="shared" si="25"/>
        <v/>
      </c>
      <c r="D368" s="9" t="str">
        <f t="shared" si="26"/>
        <v/>
      </c>
      <c r="E368" s="10" t="str">
        <f t="shared" si="27"/>
        <v/>
      </c>
      <c r="F368" s="11" t="str">
        <f t="shared" si="28"/>
        <v/>
      </c>
      <c r="G368" s="12" t="str">
        <f t="shared" si="29"/>
        <v/>
      </c>
    </row>
    <row r="369" spans="1:7" ht="16.5" customHeight="1" x14ac:dyDescent="0.2">
      <c r="A369" s="13">
        <f>IF(IFERROR(G368&gt;0,FALSE()),354,"")</f>
        <v>354</v>
      </c>
      <c r="B369" s="14">
        <f>IF(IFERROR(G368&gt;0,FALSE()),EDATE($C$10,354),"")</f>
        <v>56919</v>
      </c>
      <c r="C369" s="15" t="str">
        <f t="shared" si="25"/>
        <v/>
      </c>
      <c r="D369" s="16" t="str">
        <f t="shared" si="26"/>
        <v/>
      </c>
      <c r="E369" s="17" t="str">
        <f t="shared" si="27"/>
        <v/>
      </c>
      <c r="F369" s="18" t="str">
        <f t="shared" si="28"/>
        <v/>
      </c>
      <c r="G369" s="19" t="str">
        <f t="shared" si="29"/>
        <v/>
      </c>
    </row>
    <row r="370" spans="1:7" ht="16.5" customHeight="1" x14ac:dyDescent="0.2">
      <c r="A370" s="6">
        <f>IF(IFERROR(G369&gt;0,FALSE()),355,"")</f>
        <v>355</v>
      </c>
      <c r="B370" s="7">
        <f>IF(IFERROR(G369&gt;0,FALSE()),EDATE($C$10,355),"")</f>
        <v>56949</v>
      </c>
      <c r="C370" s="8" t="str">
        <f t="shared" si="25"/>
        <v/>
      </c>
      <c r="D370" s="9" t="str">
        <f t="shared" si="26"/>
        <v/>
      </c>
      <c r="E370" s="10" t="str">
        <f t="shared" si="27"/>
        <v/>
      </c>
      <c r="F370" s="11" t="str">
        <f t="shared" si="28"/>
        <v/>
      </c>
      <c r="G370" s="12" t="str">
        <f t="shared" si="29"/>
        <v/>
      </c>
    </row>
    <row r="371" spans="1:7" ht="16.5" customHeight="1" x14ac:dyDescent="0.2">
      <c r="A371" s="13">
        <f>IF(IFERROR(G370&gt;0,FALSE()),356,"")</f>
        <v>356</v>
      </c>
      <c r="B371" s="14">
        <f>IF(IFERROR(G370&gt;0,FALSE()),EDATE($C$10,356),"")</f>
        <v>56980</v>
      </c>
      <c r="C371" s="15" t="str">
        <f t="shared" si="25"/>
        <v/>
      </c>
      <c r="D371" s="16" t="str">
        <f t="shared" si="26"/>
        <v/>
      </c>
      <c r="E371" s="17" t="str">
        <f t="shared" si="27"/>
        <v/>
      </c>
      <c r="F371" s="18" t="str">
        <f t="shared" si="28"/>
        <v/>
      </c>
      <c r="G371" s="19" t="str">
        <f t="shared" si="29"/>
        <v/>
      </c>
    </row>
    <row r="372" spans="1:7" ht="16.5" customHeight="1" x14ac:dyDescent="0.2">
      <c r="A372" s="6">
        <f>IF(IFERROR(G371&gt;0,FALSE()),357,"")</f>
        <v>357</v>
      </c>
      <c r="B372" s="7">
        <f>IF(IFERROR(G371&gt;0,FALSE()),EDATE($C$10,357),"")</f>
        <v>57011</v>
      </c>
      <c r="C372" s="8" t="str">
        <f t="shared" si="25"/>
        <v/>
      </c>
      <c r="D372" s="9" t="str">
        <f t="shared" si="26"/>
        <v/>
      </c>
      <c r="E372" s="10" t="str">
        <f t="shared" si="27"/>
        <v/>
      </c>
      <c r="F372" s="11" t="str">
        <f t="shared" si="28"/>
        <v/>
      </c>
      <c r="G372" s="12" t="str">
        <f t="shared" si="29"/>
        <v/>
      </c>
    </row>
    <row r="373" spans="1:7" ht="16.5" customHeight="1" x14ac:dyDescent="0.2">
      <c r="A373" s="13">
        <f>IF(IFERROR(G372&gt;0,FALSE()),358,"")</f>
        <v>358</v>
      </c>
      <c r="B373" s="14">
        <f>IF(IFERROR(G372&gt;0,FALSE()),EDATE($C$10,358),"")</f>
        <v>57040</v>
      </c>
      <c r="C373" s="15" t="str">
        <f t="shared" si="25"/>
        <v/>
      </c>
      <c r="D373" s="16" t="str">
        <f t="shared" si="26"/>
        <v/>
      </c>
      <c r="E373" s="17" t="str">
        <f t="shared" si="27"/>
        <v/>
      </c>
      <c r="F373" s="18" t="str">
        <f t="shared" si="28"/>
        <v/>
      </c>
      <c r="G373" s="19" t="str">
        <f t="shared" si="29"/>
        <v/>
      </c>
    </row>
    <row r="374" spans="1:7" ht="16.5" customHeight="1" x14ac:dyDescent="0.2">
      <c r="A374" s="6">
        <f>IF(IFERROR(G373&gt;0,FALSE()),359,"")</f>
        <v>359</v>
      </c>
      <c r="B374" s="7">
        <f>IF(IFERROR(G373&gt;0,FALSE()),EDATE($C$10,359),"")</f>
        <v>57071</v>
      </c>
      <c r="C374" s="8" t="str">
        <f t="shared" si="25"/>
        <v/>
      </c>
      <c r="D374" s="9" t="str">
        <f t="shared" si="26"/>
        <v/>
      </c>
      <c r="E374" s="10" t="str">
        <f t="shared" si="27"/>
        <v/>
      </c>
      <c r="F374" s="11" t="str">
        <f t="shared" si="28"/>
        <v/>
      </c>
      <c r="G374" s="12" t="str">
        <f t="shared" si="29"/>
        <v/>
      </c>
    </row>
    <row r="375" spans="1:7" ht="16.5" customHeight="1" x14ac:dyDescent="0.2">
      <c r="A375" s="13">
        <f>IF(IFERROR(G374&gt;0,FALSE()),360,"")</f>
        <v>360</v>
      </c>
      <c r="B375" s="14">
        <f>IF(IFERROR(G374&gt;0,FALSE()),EDATE($C$10,360),"")</f>
        <v>57101</v>
      </c>
      <c r="C375" s="15" t="str">
        <f t="shared" si="25"/>
        <v/>
      </c>
      <c r="D375" s="16" t="str">
        <f t="shared" si="26"/>
        <v/>
      </c>
      <c r="E375" s="17" t="str">
        <f t="shared" si="27"/>
        <v/>
      </c>
      <c r="F375" s="18" t="str">
        <f t="shared" si="28"/>
        <v/>
      </c>
      <c r="G375" s="19" t="str">
        <f t="shared" si="29"/>
        <v/>
      </c>
    </row>
    <row r="376" spans="1:7" ht="21.75" customHeight="1" x14ac:dyDescent="0.2">
      <c r="A376" s="31" t="s">
        <v>23</v>
      </c>
      <c r="B376" s="31"/>
      <c r="C376" s="31"/>
      <c r="D376" s="20">
        <f>SUMIF(A16:A375,"&lt;&gt;",D16:D375)</f>
        <v>463.19000000000011</v>
      </c>
      <c r="E376" s="20">
        <f>SUMIF(A16:A375,"&lt;&gt;",E16:E375)</f>
        <v>10000.000000000002</v>
      </c>
      <c r="F376" s="20">
        <f>SUMIF(A16:A375,"&lt;&gt;",F16:F375)</f>
        <v>10463.19</v>
      </c>
      <c r="G376" s="21"/>
    </row>
    <row r="377" spans="1:7" ht="12" customHeight="1" x14ac:dyDescent="0.2">
      <c r="A377" s="21"/>
      <c r="B377" s="21"/>
      <c r="C377" s="21"/>
      <c r="D377" s="21"/>
      <c r="E377" s="21"/>
      <c r="F377" s="21"/>
      <c r="G377" s="21"/>
    </row>
    <row r="378" spans="1:7" ht="116" customHeight="1" x14ac:dyDescent="0.2">
      <c r="A378" s="26" t="s">
        <v>24</v>
      </c>
      <c r="B378" s="26"/>
      <c r="C378" s="26"/>
      <c r="D378" s="26"/>
      <c r="E378" s="26"/>
      <c r="F378" s="26"/>
      <c r="G378" s="26"/>
    </row>
  </sheetData>
  <sheetProtection algorithmName="SHA-512" hashValue="j9CkXCJ4Uuw1xMCarK5geBTTMB8K8sMMMJHKfQT4esFGIncXNLwkWhxgp9mq5jWjmWjzR2e8Va8rifLI/RVMAA==" saltValue="Kv+Vwjv3vY394iGsnHaLXQ==" spinCount="100000" sheet="1" objects="1" scenarios="1" selectLockedCells="1"/>
  <mergeCells count="17">
    <mergeCell ref="A1:G1"/>
    <mergeCell ref="A2:G2"/>
    <mergeCell ref="A3:G3"/>
    <mergeCell ref="A4:G4"/>
    <mergeCell ref="A6:C6"/>
    <mergeCell ref="E6:G6"/>
    <mergeCell ref="A7:B7"/>
    <mergeCell ref="E7:F7"/>
    <mergeCell ref="A8:B8"/>
    <mergeCell ref="E8:F8"/>
    <mergeCell ref="A9:B9"/>
    <mergeCell ref="E9:F9"/>
    <mergeCell ref="A378:G378"/>
    <mergeCell ref="A10:B10"/>
    <mergeCell ref="E10:F10"/>
    <mergeCell ref="A12:G12"/>
    <mergeCell ref="A376:C376"/>
  </mergeCells>
  <hyperlinks>
    <hyperlink ref="A2" r:id="rId1" xr:uid="{00000000-0004-0000-0000-000000000000}"/>
  </hyperlinks>
  <printOptions horizontalCentered="1" verticalCentered="1"/>
  <pageMargins left="0" right="0" top="0" bottom="0" header="0.511811023622047" footer="0.511811023622047"/>
  <pageSetup paperSize="9" fitToHeight="7"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Remboursement</vt:lpstr>
    </vt:vector>
  </TitlesOfParts>
  <Manager/>
  <Company>Compta Clear Sàrl</Company>
  <LinksUpToDate>false</LinksUpToDate>
  <SharedDoc>false</SharedDoc>
  <HyperlinkBase>https://comptaclear.ch/telechargements/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Remboursement Dette</dc:title>
  <dc:subject/>
  <dc:creator>Compta Clear Sàrl</dc:creator>
  <cp:keywords/>
  <dc:description/>
  <cp:lastModifiedBy>Grisiger, Laurent</cp:lastModifiedBy>
  <cp:revision>0</cp:revision>
  <dcterms:created xsi:type="dcterms:W3CDTF">2026-04-09T19:56:23Z</dcterms:created>
  <dcterms:modified xsi:type="dcterms:W3CDTF">2026-04-10T21:39:57Z</dcterms:modified>
  <cp:category>Finances personnelles</cp:category>
  <dc:language>en-US</dc:language>
</cp:coreProperties>
</file>